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Q:\Financial Planning &amp; Analysis\Company Model\2022 Models\09 - 2022\Web Financials\"/>
    </mc:Choice>
  </mc:AlternateContent>
  <xr:revisionPtr revIDLastSave="0" documentId="13_ncr:1_{C5EC4ADD-20DE-4B12-8DF7-1D84DDE6715A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Consolidated" sheetId="1" r:id="rId1"/>
    <sheet name="Rent-A-Center Business" sheetId="3" r:id="rId2"/>
    <sheet name="Acima Consolidated" sheetId="4" r:id="rId3"/>
    <sheet name="Mexico" sheetId="5" r:id="rId4"/>
    <sheet name="Franchising" sheetId="6" r:id="rId5"/>
    <sheet name="Corporate" sheetId="7" r:id="rId6"/>
  </sheets>
  <externalReferences>
    <externalReference r:id="rId7"/>
    <externalReference r:id="rId8"/>
  </externalReferences>
  <definedNames>
    <definedName name="_xlnm.Print_Area" localSheetId="2">'Acima Consolidated'!$A$1:$AE$39</definedName>
    <definedName name="_xlnm.Print_Area" localSheetId="0">Consolidated!$B$1:$AE$69</definedName>
    <definedName name="_xlnm.Print_Area" localSheetId="5">Corporate!$A$1:$AE$35</definedName>
    <definedName name="_xlnm.Print_Area" localSheetId="4">Franchising!$A$1:$AE$28</definedName>
    <definedName name="_xlnm.Print_Area" localSheetId="3">Mexico!$A$1:$AE$42</definedName>
    <definedName name="_xlnm.Print_Area" localSheetId="1">'Rent-A-Center Business'!$B$1:$AE$40</definedName>
  </definedNames>
  <calcPr calcId="191029" calcMode="manual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E26" i="7" l="1"/>
  <c r="AE28" i="6"/>
  <c r="AE19" i="6"/>
  <c r="AE12" i="6"/>
  <c r="AE11" i="5"/>
  <c r="AE29" i="5"/>
  <c r="AE20" i="5"/>
  <c r="AE12" i="5"/>
  <c r="AE10" i="5"/>
  <c r="AE9" i="5"/>
  <c r="AE8" i="5"/>
  <c r="AE29" i="4"/>
  <c r="AE20" i="4"/>
  <c r="AE12" i="4"/>
  <c r="AE29" i="3"/>
  <c r="AE56" i="1"/>
  <c r="AE27" i="1"/>
  <c r="AD27" i="1"/>
  <c r="AD24" i="7"/>
  <c r="AD11" i="3"/>
  <c r="AD19" i="3"/>
  <c r="AD26" i="7"/>
  <c r="AD24" i="6"/>
  <c r="AD23" i="6"/>
  <c r="AD22" i="6"/>
  <c r="AD10" i="6"/>
  <c r="AD8" i="6"/>
  <c r="AD7" i="6"/>
  <c r="AD25" i="6"/>
  <c r="AD27" i="6"/>
  <c r="AD11" i="6"/>
  <c r="AD28" i="6"/>
  <c r="AD19" i="6"/>
  <c r="AD12" i="6"/>
  <c r="AD25" i="5"/>
  <c r="AD24" i="5"/>
  <c r="AD23" i="5"/>
  <c r="AD22" i="5"/>
  <c r="AD11" i="5"/>
  <c r="AD19" i="5"/>
  <c r="AD26" i="5"/>
  <c r="AD28" i="5"/>
  <c r="AD29" i="5"/>
  <c r="AD20" i="5"/>
  <c r="AD12" i="5"/>
  <c r="AD11" i="4"/>
  <c r="AD19" i="4"/>
  <c r="AD26" i="4"/>
  <c r="AD28" i="4"/>
  <c r="AD29" i="4"/>
  <c r="AD20" i="4"/>
  <c r="AD12" i="4"/>
  <c r="AD26" i="3"/>
  <c r="AD28" i="3"/>
  <c r="AD29" i="3"/>
  <c r="AD20" i="3"/>
  <c r="AD12" i="3"/>
  <c r="AD52" i="1"/>
  <c r="AD55" i="1"/>
  <c r="AC55" i="1"/>
  <c r="AD54" i="1"/>
  <c r="AD11" i="1"/>
  <c r="AD18" i="1"/>
  <c r="AD26" i="1"/>
  <c r="AD33" i="1"/>
  <c r="AD56" i="1"/>
  <c r="AD48" i="1"/>
  <c r="AD40" i="1"/>
  <c r="AC48" i="1"/>
  <c r="AC19" i="3"/>
  <c r="AB55" i="1"/>
  <c r="AB56" i="1"/>
  <c r="AA55" i="1"/>
  <c r="AA56" i="1"/>
  <c r="Z55" i="1"/>
  <c r="Z56" i="1"/>
  <c r="Y55" i="1"/>
  <c r="Y56" i="1"/>
  <c r="X55" i="1"/>
  <c r="X56" i="1"/>
  <c r="W55" i="1"/>
  <c r="W56" i="1"/>
  <c r="V55" i="1"/>
  <c r="V56" i="1"/>
  <c r="U55" i="1"/>
  <c r="U56" i="1"/>
  <c r="T55" i="1"/>
  <c r="T56" i="1"/>
  <c r="S55" i="1"/>
  <c r="S56" i="1"/>
  <c r="R55" i="1"/>
  <c r="R56" i="1"/>
  <c r="Q55" i="1"/>
  <c r="Q56" i="1"/>
  <c r="P55" i="1"/>
  <c r="P56" i="1"/>
  <c r="O55" i="1"/>
  <c r="O56" i="1"/>
  <c r="N55" i="1"/>
  <c r="N56" i="1"/>
  <c r="M55" i="1"/>
  <c r="M56" i="1"/>
  <c r="L55" i="1"/>
  <c r="L56" i="1"/>
  <c r="K55" i="1"/>
  <c r="K56" i="1"/>
  <c r="J55" i="1"/>
  <c r="J56" i="1"/>
  <c r="I55" i="1"/>
  <c r="I56" i="1"/>
  <c r="H55" i="1"/>
  <c r="H56" i="1"/>
  <c r="G55" i="1"/>
  <c r="G56" i="1"/>
  <c r="F55" i="1"/>
  <c r="F56" i="1"/>
  <c r="E55" i="1"/>
  <c r="E56" i="1"/>
  <c r="D56" i="1"/>
  <c r="D55" i="1"/>
  <c r="AC26" i="7"/>
  <c r="AC24" i="7"/>
  <c r="AC27" i="6"/>
  <c r="AC25" i="6"/>
  <c r="AC11" i="6"/>
  <c r="AC11" i="5"/>
  <c r="AC19" i="5"/>
  <c r="AC28" i="5"/>
  <c r="AC26" i="5"/>
  <c r="AB22" i="5"/>
  <c r="AB15" i="5"/>
  <c r="AC11" i="4"/>
  <c r="AC19" i="4"/>
  <c r="AC28" i="4"/>
  <c r="AC26" i="4"/>
  <c r="AC28" i="3"/>
  <c r="AC26" i="3"/>
  <c r="AC11" i="3"/>
  <c r="AC11" i="1"/>
  <c r="AC18" i="1"/>
  <c r="AC26" i="1"/>
  <c r="AC35" i="1"/>
  <c r="AC52" i="1"/>
  <c r="AC54" i="1"/>
  <c r="AC33" i="1"/>
  <c r="AC56" i="1"/>
  <c r="AC27" i="1"/>
  <c r="AC29" i="3"/>
  <c r="AC20" i="3"/>
  <c r="AC12" i="3"/>
  <c r="AC29" i="4"/>
  <c r="AC20" i="4"/>
  <c r="AC12" i="4"/>
  <c r="AC29" i="5"/>
  <c r="AC20" i="5"/>
  <c r="AC12" i="5"/>
  <c r="AC28" i="6"/>
  <c r="AC19" i="6"/>
  <c r="AC12" i="6"/>
  <c r="AC40" i="1"/>
  <c r="AA15" i="5"/>
  <c r="AB23" i="7"/>
  <c r="AB24" i="7"/>
  <c r="AB27" i="6"/>
  <c r="AB25" i="6"/>
  <c r="AB24" i="6"/>
  <c r="AB23" i="6"/>
  <c r="AB22" i="6"/>
  <c r="AB21" i="6"/>
  <c r="AB18" i="6"/>
  <c r="AB17" i="6"/>
  <c r="AB16" i="6"/>
  <c r="AB15" i="6"/>
  <c r="AB11" i="6"/>
  <c r="AB10" i="6"/>
  <c r="AB9" i="6"/>
  <c r="AB8" i="6"/>
  <c r="AB7" i="6"/>
  <c r="AB28" i="5"/>
  <c r="AB26" i="5"/>
  <c r="AB25" i="5"/>
  <c r="AB24" i="5"/>
  <c r="AB23" i="5"/>
  <c r="AB19" i="5"/>
  <c r="AB18" i="5"/>
  <c r="AB17" i="5"/>
  <c r="AB16" i="5"/>
  <c r="AB11" i="5"/>
  <c r="AB10" i="5"/>
  <c r="AB9" i="5"/>
  <c r="AB8" i="5"/>
  <c r="AB7" i="5"/>
  <c r="AB28" i="4"/>
  <c r="AB26" i="4"/>
  <c r="AB25" i="4"/>
  <c r="AB24" i="4"/>
  <c r="AB23" i="4"/>
  <c r="AB22" i="4"/>
  <c r="AA19" i="4"/>
  <c r="AB19" i="4"/>
  <c r="AB18" i="4"/>
  <c r="AB17" i="4"/>
  <c r="AB16" i="4"/>
  <c r="AB15" i="4"/>
  <c r="AB11" i="4"/>
  <c r="AB10" i="4"/>
  <c r="AB9" i="4"/>
  <c r="AB8" i="4"/>
  <c r="AB7" i="4"/>
  <c r="AB25" i="3"/>
  <c r="AB24" i="3"/>
  <c r="AB23" i="3"/>
  <c r="AB22" i="3"/>
  <c r="AB18" i="3"/>
  <c r="AB17" i="3"/>
  <c r="AB16" i="3"/>
  <c r="AB15" i="3"/>
  <c r="AA11" i="3"/>
  <c r="AB11" i="3"/>
  <c r="AB10" i="3"/>
  <c r="AB9" i="3"/>
  <c r="AB8" i="3"/>
  <c r="AB7" i="3"/>
  <c r="AA24" i="7"/>
  <c r="AA26" i="3"/>
  <c r="AB26" i="3"/>
  <c r="AA19" i="3"/>
  <c r="AB19" i="3"/>
  <c r="AB38" i="1"/>
  <c r="AB25" i="1"/>
  <c r="AA11" i="1"/>
  <c r="AA18" i="1"/>
  <c r="AB18" i="1"/>
  <c r="AB22" i="1"/>
  <c r="AB23" i="1"/>
  <c r="AB24" i="1"/>
  <c r="AB26" i="1"/>
  <c r="AB32" i="1"/>
  <c r="AB54" i="1"/>
  <c r="AA54" i="1"/>
  <c r="AB37" i="1"/>
  <c r="AB11" i="1"/>
  <c r="AB43" i="1"/>
  <c r="AB31" i="1"/>
  <c r="AB30" i="1"/>
  <c r="AB29" i="1"/>
  <c r="AB16" i="1"/>
  <c r="AB15" i="1"/>
  <c r="AB10" i="1"/>
  <c r="AB9" i="1"/>
  <c r="AB8" i="1"/>
  <c r="AB7" i="1"/>
  <c r="AA26" i="1"/>
  <c r="AA33" i="1"/>
  <c r="X33" i="1"/>
  <c r="AB33" i="1"/>
  <c r="X29" i="5"/>
  <c r="X28" i="6"/>
  <c r="X19" i="6"/>
  <c r="X12" i="6"/>
  <c r="X20" i="5"/>
  <c r="X12" i="5"/>
  <c r="X29" i="4"/>
  <c r="X20" i="4"/>
  <c r="X12" i="4"/>
  <c r="X29" i="3"/>
  <c r="X20" i="3"/>
  <c r="X12" i="3"/>
  <c r="X35" i="1"/>
  <c r="V27" i="6"/>
  <c r="V24" i="6"/>
  <c r="V22" i="6"/>
  <c r="V21" i="6"/>
  <c r="V17" i="6"/>
  <c r="V16" i="6"/>
  <c r="V15" i="6"/>
  <c r="V11" i="6"/>
  <c r="V10" i="6"/>
  <c r="V9" i="6"/>
  <c r="V8" i="6"/>
  <c r="V7" i="6"/>
  <c r="V28" i="5"/>
  <c r="V25" i="5"/>
  <c r="V19" i="5"/>
  <c r="V18" i="5"/>
  <c r="V17" i="5"/>
  <c r="V16" i="5"/>
  <c r="V15" i="5"/>
  <c r="V11" i="5"/>
  <c r="V10" i="5"/>
  <c r="V9" i="5"/>
  <c r="V8" i="5"/>
  <c r="V7" i="5"/>
  <c r="V28" i="4"/>
  <c r="V25" i="4"/>
  <c r="V24" i="4"/>
  <c r="V23" i="4"/>
  <c r="V22" i="4"/>
  <c r="V18" i="4"/>
  <c r="V17" i="4"/>
  <c r="V16" i="4"/>
  <c r="V15" i="4"/>
  <c r="V11" i="4"/>
  <c r="V10" i="4"/>
  <c r="V9" i="4"/>
  <c r="V8" i="4"/>
  <c r="V7" i="4"/>
  <c r="V25" i="3"/>
  <c r="V24" i="3"/>
  <c r="V22" i="3"/>
  <c r="V19" i="3"/>
  <c r="V18" i="3"/>
  <c r="V17" i="3"/>
  <c r="V16" i="3"/>
  <c r="V15" i="3"/>
  <c r="V11" i="3"/>
  <c r="V10" i="3"/>
  <c r="V9" i="3"/>
  <c r="V8" i="3"/>
  <c r="V7" i="3"/>
  <c r="W20" i="3"/>
  <c r="X40" i="1"/>
  <c r="X36" i="1"/>
  <c r="AB35" i="1"/>
  <c r="AB52" i="1"/>
  <c r="AA35" i="1"/>
  <c r="AA40" i="1"/>
  <c r="AA44" i="1"/>
  <c r="AA52" i="1"/>
  <c r="AB40" i="1"/>
  <c r="AB44" i="1"/>
</calcChain>
</file>

<file path=xl/sharedStrings.xml><?xml version="1.0" encoding="utf-8"?>
<sst xmlns="http://schemas.openxmlformats.org/spreadsheetml/2006/main" count="359" uniqueCount="123">
  <si>
    <t>Rent-A-Center, Inc.</t>
  </si>
  <si>
    <t>Quarterly Financials</t>
  </si>
  <si>
    <t>($000's, Except Share Data)</t>
  </si>
  <si>
    <t>Consolidated Summary</t>
  </si>
  <si>
    <t>Quarter Ended</t>
  </si>
  <si>
    <t>FYE</t>
  </si>
  <si>
    <t>ProForma (Unaudited)</t>
  </si>
  <si>
    <t>9/30/2018</t>
  </si>
  <si>
    <t>2018</t>
  </si>
  <si>
    <t>9/30/2019</t>
  </si>
  <si>
    <t>6/30/2020</t>
  </si>
  <si>
    <t>Store Revenue</t>
  </si>
  <si>
    <t>Rentals and Fees</t>
  </si>
  <si>
    <t>Merchandise Sales</t>
  </si>
  <si>
    <t>Installment Sales</t>
  </si>
  <si>
    <t>Other</t>
  </si>
  <si>
    <t>Total Store Revenue</t>
  </si>
  <si>
    <r>
      <t xml:space="preserve">Same Store Sales </t>
    </r>
    <r>
      <rPr>
        <b/>
        <vertAlign val="superscript"/>
        <sz val="10"/>
        <rFont val="Calibri"/>
        <family val="2"/>
      </rPr>
      <t>1 2</t>
    </r>
  </si>
  <si>
    <t>Franchise Merchandise Sales</t>
  </si>
  <si>
    <t>Royalty Income and Fees</t>
  </si>
  <si>
    <t>Total Revenue</t>
  </si>
  <si>
    <t xml:space="preserve">    YoY Total Revenue Growth</t>
  </si>
  <si>
    <t>Direct Store Expenses</t>
  </si>
  <si>
    <t>Cost of Rental and Fees</t>
  </si>
  <si>
    <t>Cost of Merchandise Sold</t>
  </si>
  <si>
    <t>Cost of Installment Sales</t>
  </si>
  <si>
    <t>Franchise cost of merchandise sold</t>
  </si>
  <si>
    <t>Gross Profit</t>
  </si>
  <si>
    <t>% of Total Revenue</t>
  </si>
  <si>
    <t>Store Expenses</t>
  </si>
  <si>
    <t>Labor</t>
  </si>
  <si>
    <t>Other Store Expenses</t>
  </si>
  <si>
    <t>General &amp; Administrative Expenses</t>
  </si>
  <si>
    <t>Depreciation, amortization and write down of intangibles</t>
  </si>
  <si>
    <t>Total Operating Expenses</t>
  </si>
  <si>
    <r>
      <t>Operating Profit</t>
    </r>
    <r>
      <rPr>
        <vertAlign val="superscript"/>
        <sz val="10"/>
        <rFont val="Calibri"/>
        <family val="2"/>
      </rPr>
      <t>3</t>
    </r>
  </si>
  <si>
    <t>Interest Income</t>
  </si>
  <si>
    <t>Interest Expense</t>
  </si>
  <si>
    <t>Earnings Before Income Taxes</t>
  </si>
  <si>
    <t>Tax Rate</t>
  </si>
  <si>
    <t>Tax Expense</t>
  </si>
  <si>
    <r>
      <t>Net Earnings to Common</t>
    </r>
    <r>
      <rPr>
        <vertAlign val="superscript"/>
        <sz val="10"/>
        <rFont val="Calibri"/>
        <family val="2"/>
      </rPr>
      <t xml:space="preserve">3 </t>
    </r>
  </si>
  <si>
    <t>Basic EPS</t>
  </si>
  <si>
    <r>
      <t>Diluted EPS</t>
    </r>
    <r>
      <rPr>
        <vertAlign val="superscript"/>
        <sz val="10"/>
        <rFont val="Calibri"/>
        <family val="2"/>
      </rPr>
      <t xml:space="preserve">3 </t>
    </r>
  </si>
  <si>
    <t>YOY % Change</t>
  </si>
  <si>
    <t>Basic Shares Outstanding</t>
  </si>
  <si>
    <t>Diluted  Shares Outstanding</t>
  </si>
  <si>
    <t>EBIT</t>
  </si>
  <si>
    <t>Plus: Depreciation &amp; Amortization</t>
  </si>
  <si>
    <t>EBITDA Margin</t>
  </si>
  <si>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 xml:space="preserve"> Given the severity of natural disasters during the third quarter of FY 2017, the Company instituted a change to the same store sales store selection starting in the month of September, excluding geographically impacted regions for 18 months.</t>
    </r>
  </si>
  <si>
    <r>
      <t>3</t>
    </r>
    <r>
      <rPr>
        <sz val="10"/>
        <color theme="1"/>
        <rFont val="Calibri"/>
        <family val="2"/>
        <scheme val="minor"/>
      </rPr>
      <t xml:space="preserve"> Q1'18: Excludes the effects of approximately $17.5 million of pre-tax charges including $10.3 million related to cost savings initiatives, $4.4 million related to store closure costs, $1.9 million in capitalized software write-downs, $1.7 million in incremental legal and advisory fees, and ($0.8) million related to 2017 hurricanes. </t>
    </r>
  </si>
  <si>
    <r>
      <t>3</t>
    </r>
    <r>
      <rPr>
        <sz val="10"/>
        <color theme="1"/>
        <rFont val="Calibri"/>
        <family val="2"/>
        <scheme val="minor"/>
      </rPr>
      <t xml:space="preserve"> Q2'18: Excludes the effects of approximately $16.5 million of pre-tax charges including $7.0 million related to cost savings initiatives, $6.6 million in incremental legal and advisory fees, $4.4 million related to store closure, and ($1.5) million credit related to a contract termination settlement and cost savings initiatives. </t>
    </r>
  </si>
  <si>
    <r>
      <t>3</t>
    </r>
    <r>
      <rPr>
        <sz val="10"/>
        <color theme="1"/>
        <rFont val="Calibri"/>
        <family val="2"/>
        <scheme val="minor"/>
      </rPr>
      <t xml:space="preserve"> Q3'18: Excludes the effects of approximately $3.8 million of pre-tax charges in incremental legal and advisory fees associated with the Vintage Merger, $1.9 million related to store closure costs, $0.9 million related to cost savings initiatives, and $0.1 million in hurricane damage</t>
    </r>
  </si>
  <si>
    <r>
      <rPr>
        <vertAlign val="super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 xml:space="preserve"> Q4'18: Excludes the effects of approximately $12.3 million related to cost savings initiatives, $4.3 million in incremental legal and advisory fees, $0.9 million related to store closure costs, $0.8 million in capitalized software write-downs, $0.4 million related to the 2018 hurricanes.</t>
    </r>
  </si>
  <si>
    <r>
      <rPr>
        <vertAlign val="super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 xml:space="preserve"> Q1'19: Excludes the effects of approximately $33.4 million of pre-tax charges including $13.0 million related to the Blair class action settlement,  $10.4 million in incremental legal and professional fees associated with the termination of the merger agreement, $8.7 million related to cost savings initiatives, and $1.3 million related to store closure costs. </t>
    </r>
  </si>
  <si>
    <r>
      <rPr>
        <vertAlign val="super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 xml:space="preserve"> Q2'19: Excludes the effects of approximately $92.5 million of pre-tax gains related to the merger termination settlement, and $1.0 million of insurance proceeds related to the 2017 hurricanes, partially offset by pre-tax charges of $10.2 million in merger termination and other incremental legal and professional fees, $2.9 million related to store closure costs, $1.9 million related to state tax audit assessments, and $1.0 million related to cost savings initiatives.</t>
    </r>
  </si>
  <si>
    <r>
      <rPr>
        <vertAlign val="super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 xml:space="preserve"> Q3'19: Excludes the effects of approximately $2.9 million of pre-tax charges including $1.9 million related to store closure costs, $0.7 million in transaction fees for the Merchants Preferred acquisition, $0.3 million related to cost savings initiatives, $(8.4) million of discrete income tax adjustments and $2.2 million of pre-tax debt refinancing charges</t>
    </r>
  </si>
  <si>
    <r>
      <rPr>
        <vertAlign val="super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 xml:space="preserve"> Q4'19: Excludes the effects of approximately $19.4 million of pre-tax gains, primarily including a $21.8 million gain on the sale of our corporate headquarters, partially offset by $1.3 million related to store closure costs, $0.5 million related to state tax audit assessments, $0.3 million related to other litigation settlements, $0.2 million in transaction fees for the Merchants Preferred acquisition, and $0.1 million related to cost savings initiatives</t>
    </r>
  </si>
  <si>
    <r>
      <rPr>
        <vertAlign val="super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 xml:space="preserve"> Q1'20: Excludes the effects of approximately $1.7 million of pre-tax charges, primarily including $0.8 million related to store closure costs, $0.5 million related to cost savings initiatives, $0.3 million related to COVID-19 impacts, $0.2 million in capitalized software write-offs, partially offset by $(0.1) million in insurance proceeds received relating to Hurricane Maria in 2017.</t>
    </r>
  </si>
  <si>
    <t>Rent-A-Center Business</t>
  </si>
  <si>
    <t/>
  </si>
  <si>
    <r>
      <t xml:space="preserve">Same Store Sales </t>
    </r>
    <r>
      <rPr>
        <b/>
        <vertAlign val="superscript"/>
        <sz val="10"/>
        <rFont val="Calibri"/>
        <family val="2"/>
      </rPr>
      <t>1</t>
    </r>
  </si>
  <si>
    <r>
      <t>Operating Profit</t>
    </r>
    <r>
      <rPr>
        <vertAlign val="superscript"/>
        <sz val="10"/>
        <rFont val="Calibri"/>
        <family val="2"/>
      </rPr>
      <t>2</t>
    </r>
  </si>
  <si>
    <r>
      <rPr>
        <vertAlign val="super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 xml:space="preserve"> Q1'18 excludes approximately $4.6 million of pre-tax charges primarily related to $1.1 million in cost savings initiatives, 4.2 million for store closure plans, and ($0.7) million related to the 2017 hurricanes.</t>
    </r>
  </si>
  <si>
    <r>
      <rPr>
        <vertAlign val="super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 xml:space="preserve"> Q2'18 excludes approximately $11.4 million of pre-tax charges primarily related to $7.0 million in cost savings initiatives, and $4.4 million for store closure costs</t>
    </r>
  </si>
  <si>
    <r>
      <rPr>
        <vertAlign val="super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 xml:space="preserve"> Q3'18 excludes approximately $2.0 million of pre-tax charges primarily related to $1.9 million for store closure costs and $0.1 million in hurricane damage</t>
    </r>
  </si>
  <si>
    <r>
      <rPr>
        <vertAlign val="super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 xml:space="preserve"> Q4'18 excludes approximately $13.6 million of pre-tax charges primarily related to $12.3 million for cost savings initiatives, $0.9 million for store closure costs, $0.1 million in capitalized software write-downs, and $0.3 million related to 2018 hurricane impacts.</t>
    </r>
  </si>
  <si>
    <r>
      <rPr>
        <vertAlign val="super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 xml:space="preserve"> Q1'19 excludes approximately $7.8 million of pre-tax charges primarily related to $6.6 million for cost savings initiatives and $1.2 million for store closure costs.</t>
    </r>
  </si>
  <si>
    <r>
      <rPr>
        <vertAlign val="super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 xml:space="preserve"> Q2'19 excludes approximately $3.0 million of pre-tax charges primarily related to $2.9 million for store closure costs, and $1.1 million related to cost savings initiatives, partially offset by $1.0 million of insurance proceeds related to the 2017 hurricanes.</t>
    </r>
  </si>
  <si>
    <r>
      <rPr>
        <vertAlign val="super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 xml:space="preserve"> Q3'19 excludes approximately $2.1 million of pre-tax charges primarily related to $1.8 million for store closure costs and $0.3 million related to cost savings initiatives.</t>
    </r>
  </si>
  <si>
    <r>
      <rPr>
        <vertAlign val="super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 xml:space="preserve"> Q4'19 excludes approximately $1.4 million of pre-tax charges primarily related to $1.3 million in store closure costs, $0.2 million in cost savings initiatives, partially offset by $0.1 million of insurance proceeds related to the 2017 hurricanes</t>
    </r>
  </si>
  <si>
    <r>
      <rPr>
        <vertAlign val="super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 xml:space="preserve"> Q1'20: Excludes approximately $1.6 million of pre-tax charges primarily related to $0.8 million in store closure costs, $0.4 million in cost savings initiatives, $0.3 million related to COVID-19 impacts, $0.2 million in capitalized software write-offs, partially offset by $(0.1) million in insurance proceeds received relating to Hurricanes Maria in 2017.</t>
    </r>
  </si>
  <si>
    <r>
      <rPr>
        <vertAlign val="super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 xml:space="preserve"> Q1'18: excludes approximately $4.9 million of pre-tax charges primarily related to $3.1 million in cost savings initiatives, $1.9 million in capitalized software write-downs, and ($0.1) million related to the 2017 hurricanes.</t>
    </r>
  </si>
  <si>
    <r>
      <rPr>
        <vertAlign val="super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 xml:space="preserve"> Q2'18: excludes approximately $0.1 million of pre-tax charges primarily related to cost savings initiatives.</t>
    </r>
  </si>
  <si>
    <r>
      <rPr>
        <vertAlign val="super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 xml:space="preserve"> Q3'18 excludes approximately $0.4 million of pre-tax charges primarily related to cost savings initiatives</t>
    </r>
  </si>
  <si>
    <r>
      <rPr>
        <vertAlign val="super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 xml:space="preserve"> Q4'18 excludes approximately $0.4 million of pre-tax charges primarily related to capitalized software write-downs.</t>
    </r>
  </si>
  <si>
    <r>
      <rPr>
        <vertAlign val="super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 xml:space="preserve"> Q1'19 excludes approximately $0.3 million of pre-tax charges primarily related to $0.2 million for cost savings initiatives and $0.1 million for store closure costs.</t>
    </r>
  </si>
  <si>
    <r>
      <rPr>
        <vertAlign val="superscript"/>
        <sz val="10"/>
        <color theme="1"/>
        <rFont val="Calibri"/>
        <family val="2"/>
        <scheme val="minor"/>
      </rPr>
      <t xml:space="preserve">2 </t>
    </r>
    <r>
      <rPr>
        <sz val="10"/>
        <color theme="1"/>
        <rFont val="Calibri"/>
        <family val="2"/>
        <scheme val="minor"/>
      </rPr>
      <t>Q3'19</t>
    </r>
    <r>
      <rPr>
        <sz val="10"/>
        <color theme="1"/>
        <rFont val="Arial"/>
        <family val="2"/>
      </rPr>
      <t xml:space="preserve"> excludes approximately $0.1 million of pre-tax charges primarily related to store closure costs.</t>
    </r>
  </si>
  <si>
    <r>
      <rPr>
        <vertAlign val="superscript"/>
        <sz val="10"/>
        <color theme="1"/>
        <rFont val="Calibri"/>
        <family val="2"/>
        <scheme val="minor"/>
      </rPr>
      <t xml:space="preserve">2 </t>
    </r>
    <r>
      <rPr>
        <sz val="10"/>
        <color theme="1"/>
        <rFont val="Calibri"/>
        <family val="2"/>
        <scheme val="minor"/>
      </rPr>
      <t>Q4'19</t>
    </r>
    <r>
      <rPr>
        <sz val="10"/>
        <color theme="1"/>
        <rFont val="Arial"/>
        <family val="2"/>
      </rPr>
      <t xml:space="preserve"> excludes approximately $0.1 million of pre-tax charges primarily related to cost savings initiatives. </t>
    </r>
  </si>
  <si>
    <r>
      <rPr>
        <vertAlign val="superscript"/>
        <sz val="10"/>
        <color theme="1"/>
        <rFont val="Calibri"/>
        <family val="2"/>
        <scheme val="minor"/>
      </rPr>
      <t xml:space="preserve">2 </t>
    </r>
    <r>
      <rPr>
        <sz val="10"/>
        <color theme="1"/>
        <rFont val="Calibri"/>
        <family val="2"/>
        <scheme val="minor"/>
      </rPr>
      <t>Q1'20</t>
    </r>
    <r>
      <rPr>
        <sz val="10"/>
        <color theme="1"/>
        <rFont val="Arial"/>
        <family val="2"/>
      </rPr>
      <t xml:space="preserve"> excludes approximately $0.1 million of pre-tax charges primarily related to cost savings initiatives.</t>
    </r>
  </si>
  <si>
    <r>
      <t xml:space="preserve">Quarterly Financials </t>
    </r>
    <r>
      <rPr>
        <b/>
        <vertAlign val="superscript"/>
        <sz val="16"/>
        <rFont val="Calibri"/>
        <family val="2"/>
      </rPr>
      <t>(1)</t>
    </r>
  </si>
  <si>
    <t>Mexico</t>
  </si>
  <si>
    <r>
      <t xml:space="preserve">3/31/2017 </t>
    </r>
    <r>
      <rPr>
        <b/>
        <vertAlign val="superscript"/>
        <sz val="10"/>
        <color rgb="FF0000FF"/>
        <rFont val="Calibri"/>
        <family val="2"/>
      </rPr>
      <t>(4)</t>
    </r>
  </si>
  <si>
    <r>
      <t xml:space="preserve">6/30/2017 </t>
    </r>
    <r>
      <rPr>
        <b/>
        <vertAlign val="superscript"/>
        <sz val="10"/>
        <color rgb="FF0000FF"/>
        <rFont val="Calibri"/>
        <family val="2"/>
      </rPr>
      <t>(6)</t>
    </r>
  </si>
  <si>
    <r>
      <t>9/30/2017</t>
    </r>
    <r>
      <rPr>
        <b/>
        <vertAlign val="superscript"/>
        <sz val="10"/>
        <color rgb="FF0000FF"/>
        <rFont val="Calibri"/>
        <family val="2"/>
      </rPr>
      <t xml:space="preserve"> (7)</t>
    </r>
  </si>
  <si>
    <r>
      <t>12/31/2017</t>
    </r>
    <r>
      <rPr>
        <b/>
        <vertAlign val="superscript"/>
        <sz val="10"/>
        <color rgb="FF0000FF"/>
        <rFont val="Calibri"/>
        <family val="2"/>
      </rPr>
      <t xml:space="preserve"> (8)</t>
    </r>
  </si>
  <si>
    <r>
      <t>03/31/2018</t>
    </r>
    <r>
      <rPr>
        <b/>
        <vertAlign val="superscript"/>
        <sz val="10"/>
        <color rgb="FF0000FF"/>
        <rFont val="Calibri"/>
        <family val="2"/>
      </rPr>
      <t xml:space="preserve"> (9)</t>
    </r>
  </si>
  <si>
    <r>
      <t>06/30/2018</t>
    </r>
    <r>
      <rPr>
        <b/>
        <vertAlign val="superscript"/>
        <sz val="10"/>
        <color rgb="FF0000FF"/>
        <rFont val="Calibri"/>
        <family val="2"/>
      </rPr>
      <t xml:space="preserve"> (10)</t>
    </r>
  </si>
  <si>
    <r>
      <t>3/31/2019</t>
    </r>
    <r>
      <rPr>
        <b/>
        <vertAlign val="superscript"/>
        <sz val="10"/>
        <color rgb="FF0000FF"/>
        <rFont val="Calibri"/>
        <family val="2"/>
      </rPr>
      <t>(11)</t>
    </r>
  </si>
  <si>
    <r>
      <t>3/31/2020</t>
    </r>
    <r>
      <rPr>
        <b/>
        <vertAlign val="superscript"/>
        <sz val="10"/>
        <color rgb="FF0000FF"/>
        <rFont val="Calibri"/>
        <family val="2"/>
      </rPr>
      <t>(12)</t>
    </r>
  </si>
  <si>
    <r>
      <t xml:space="preserve">Same Store Sales </t>
    </r>
    <r>
      <rPr>
        <b/>
        <vertAlign val="superscript"/>
        <sz val="10"/>
        <rFont val="Calibri"/>
        <family val="2"/>
      </rPr>
      <t>(2, 5)</t>
    </r>
  </si>
  <si>
    <t>Operating Profit</t>
  </si>
  <si>
    <t>(1) Actual results reported in USD; given the fluctuation in foreign exchange rates, growth rates may differ from the results in local currency</t>
  </si>
  <si>
    <t>(2) Same Store Sales are reported on a constant currency basis beginning in 2015</t>
  </si>
  <si>
    <t>(3) Excludes $2.3 million of restructuring charges related to the closure of Mexico stores impacting quarterly results</t>
  </si>
  <si>
    <t>(4) Excludes $9k related to gain on sale of certain fixed assets</t>
  </si>
  <si>
    <r>
      <rPr>
        <vertAlign val="superscript"/>
        <sz val="10"/>
        <rFont val="Calibri"/>
        <family val="2"/>
      </rPr>
      <t>(5)</t>
    </r>
    <r>
      <rPr>
        <sz val="10"/>
        <rFont val="Calibri"/>
        <family val="2"/>
      </rPr>
      <t xml:space="preserve"> Revised same store sales methodology beginning FY 2016.  The company will exclude from the same store sales base any store that receives a certain level of customer accounts from another store (acquisition or merger).</t>
    </r>
  </si>
  <si>
    <t>The receiving store will be eligible for inclusion in the same store sales base in the twenty-fourth full month following the account transfer.</t>
  </si>
  <si>
    <r>
      <rPr>
        <vertAlign val="superscript"/>
        <sz val="10"/>
        <rFont val="Calibri"/>
        <family val="2"/>
      </rPr>
      <t>(6)</t>
    </r>
    <r>
      <rPr>
        <sz val="10"/>
        <rFont val="Calibri"/>
        <family val="2"/>
      </rPr>
      <t xml:space="preserve"> Excludes approximately $0.2 million of pre-tax charges related to reductions at the Mexico field support center</t>
    </r>
  </si>
  <si>
    <r>
      <rPr>
        <vertAlign val="superscript"/>
        <sz val="9"/>
        <rFont val="Calibri"/>
        <family val="2"/>
      </rPr>
      <t>(7)</t>
    </r>
    <r>
      <rPr>
        <sz val="9"/>
        <rFont val="Calibri"/>
        <family val="2"/>
      </rPr>
      <t xml:space="preserve"> Excludes approximately $0.1 million of tax settlement charges</t>
    </r>
  </si>
  <si>
    <r>
      <rPr>
        <vertAlign val="superscript"/>
        <sz val="9"/>
        <rFont val="Calibri"/>
        <family val="2"/>
      </rPr>
      <t>(8)</t>
    </r>
    <r>
      <rPr>
        <sz val="9"/>
        <rFont val="Calibri"/>
        <family val="2"/>
      </rPr>
      <t xml:space="preserve"> Excludes approximately $20 thousand related to other store expense</t>
    </r>
  </si>
  <si>
    <t>(9) Excludes approximately $0.4 million of pretax charges related to store closures</t>
  </si>
  <si>
    <t>(10) Excludes approximately ($27) thousand related to other store expenses</t>
  </si>
  <si>
    <t>(11) Excludes approximately $5 thousand related to store closures</t>
  </si>
  <si>
    <t>(12) Excludes approximately $4 thousand related to store closures</t>
  </si>
  <si>
    <t>Franchising</t>
  </si>
  <si>
    <t xml:space="preserve">FYE </t>
  </si>
  <si>
    <t>Corporate</t>
  </si>
  <si>
    <r>
      <t>Operating Profit</t>
    </r>
    <r>
      <rPr>
        <vertAlign val="superscript"/>
        <sz val="10"/>
        <rFont val="Calibri"/>
        <family val="2"/>
      </rPr>
      <t>1</t>
    </r>
  </si>
  <si>
    <r>
      <t xml:space="preserve">1 </t>
    </r>
    <r>
      <rPr>
        <sz val="10"/>
        <color theme="1"/>
        <rFont val="Calibri"/>
        <family val="2"/>
        <scheme val="minor"/>
      </rPr>
      <t>Q1'18: excludes approximately $7.8 million of pre-tax charges primarily related to $6.1 million in cost savings initiatives, and $1.7 million for incremental legal and advisory fees</t>
    </r>
  </si>
  <si>
    <r>
      <t xml:space="preserve">1 </t>
    </r>
    <r>
      <rPr>
        <sz val="10"/>
        <color theme="1"/>
        <rFont val="Calibri"/>
        <family val="2"/>
        <scheme val="minor"/>
      </rPr>
      <t>Q2'18: excludes approximately $5.0 million of pre-tax charges primarily related to $6.6 million for incremental legal and advisory fees, partially offset by credit adjustments of ($1.5) million and ($0.1) million related to a contract termination settlement and cost savings initiatives, respectively.</t>
    </r>
  </si>
  <si>
    <r>
      <t xml:space="preserve">1 </t>
    </r>
    <r>
      <rPr>
        <sz val="10"/>
        <color theme="1"/>
        <rFont val="Calibri"/>
        <family val="2"/>
        <scheme val="minor"/>
      </rPr>
      <t>Q3'18: excludes approximately $4.3 million of pre-tax charges primarily related to $3.8 million for incremental legal and advisory fees associated with the Vintage Merger, and $0.5 million related to cost savings initiatives</t>
    </r>
  </si>
  <si>
    <r>
      <t xml:space="preserve">1 </t>
    </r>
    <r>
      <rPr>
        <sz val="10"/>
        <color theme="1"/>
        <rFont val="Calibri"/>
        <family val="2"/>
        <scheme val="minor"/>
      </rPr>
      <t>Q4'18: excludes approximately $4.7 million of pre-tax charges primarily related to $4.3 million for incremental legal and advisory fees, and $0.4 million in capitalized software write-downs.</t>
    </r>
  </si>
  <si>
    <r>
      <t xml:space="preserve">1 </t>
    </r>
    <r>
      <rPr>
        <sz val="10"/>
        <color theme="1"/>
        <rFont val="Calibri"/>
        <family val="2"/>
        <scheme val="minor"/>
      </rPr>
      <t>Q1'19: excludes approximately $25.3 million of pre-tax charges primarily related to $13.0 million for the Blair class action settlement, $10.4 million for incremental legal and professional fees associated with the termination of the merger agreement, and $1.9 million for cost savings initiatives</t>
    </r>
  </si>
  <si>
    <r>
      <rPr>
        <vertAlign val="superscript"/>
        <sz val="10"/>
        <color theme="1"/>
        <rFont val="Calibri"/>
        <family val="2"/>
        <scheme val="minor"/>
      </rPr>
      <t>1</t>
    </r>
    <r>
      <rPr>
        <sz val="10"/>
        <color theme="1"/>
        <rFont val="Calibri"/>
        <family val="2"/>
        <scheme val="minor"/>
      </rPr>
      <t xml:space="preserve"> Q2'19 excludes approximately $80.5 million of pre-tax gains primarily related to $92.5 million for the merger termination settlement, and $0.1 million related to cost savings initiatives, partially offset by $10.2 million in merger termination and other incremental legal and professional fees, and $1.9 million related to state tax audit assessments.</t>
    </r>
  </si>
  <si>
    <r>
      <rPr>
        <vertAlign val="superscript"/>
        <sz val="10"/>
        <color theme="1"/>
        <rFont val="Calibri"/>
        <family val="2"/>
        <scheme val="minor"/>
      </rPr>
      <t>1</t>
    </r>
    <r>
      <rPr>
        <sz val="10"/>
        <color theme="1"/>
        <rFont val="Calibri"/>
        <family val="2"/>
        <scheme val="minor"/>
      </rPr>
      <t xml:space="preserve"> Q3'19 excludes approximately $0.7 million of pre-tax charges primarily related to $0.7 million in transaction fees for the Merchants Preferred acquisition</t>
    </r>
  </si>
  <si>
    <r>
      <rPr>
        <vertAlign val="superscript"/>
        <sz val="10"/>
        <color theme="1"/>
        <rFont val="Calibri"/>
        <family val="2"/>
        <scheme val="minor"/>
      </rPr>
      <t>1</t>
    </r>
    <r>
      <rPr>
        <sz val="10"/>
        <color theme="1"/>
        <rFont val="Calibri"/>
        <family val="2"/>
        <scheme val="minor"/>
      </rPr>
      <t xml:space="preserve"> Q4'19 excludes approximately $20.9 million of pre-tax gains primarily related to $21.8 million gain on sale of our corporate headquarters, and $(0.1) million in cost savings initiatives, partially offset by $0.5 million in state tax audit assessments, $0.3 million for other litigation settlements, and $0.2 million in transaction fees for the Merchants Preferred acquisition. </t>
    </r>
  </si>
  <si>
    <r>
      <rPr>
        <vertAlign val="superscript"/>
        <sz val="10"/>
        <rFont val="Calibri"/>
        <family val="2"/>
      </rPr>
      <t>1</t>
    </r>
    <r>
      <rPr>
        <sz val="10"/>
        <rFont val="Calibri"/>
        <family val="2"/>
      </rPr>
      <t xml:space="preserve"> Revised same store sales methodology beginning FY 2016.  The company will exclude from the same store sales base any store that receives a certain level of customer accounts from another store (acquisition or merger). The receiving store will be eligible for inclusion in teh same store sales base in the twenty-fourth full month following the account transfer</t>
    </r>
  </si>
  <si>
    <t>Acima Consolidated</t>
  </si>
  <si>
    <t xml:space="preserve">  Plus: Stock based compensation</t>
  </si>
  <si>
    <t>4 Adjusted EBITDA adds back the impact of SBC as of 1/1/2022</t>
  </si>
  <si>
    <r>
      <t xml:space="preserve">Adjusted EBITDA </t>
    </r>
    <r>
      <rPr>
        <vertAlign val="superscript"/>
        <sz val="10"/>
        <rFont val="Calibri"/>
        <family val="2"/>
      </rPr>
      <t>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</si>
</sst>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5" formatCode="&quot;$&quot;#,##0_);\(&quot;$&quot;#,##0\)"/>
    <numFmt numFmtId="7" formatCode="&quot;$&quot;#,##0.00_);\(&quot;$&quot;#,##0.00\)"/>
    <numFmt numFmtId="43" formatCode="_(* #,##0.00_);_(* \(#,##0.00\);_(* &quot;-&quot;??_);_(@_)"/>
    <numFmt numFmtId="164" formatCode="[$-409]mmmm\-yy;@"/>
    <numFmt numFmtId="165" formatCode="0_);\(0\)"/>
    <numFmt numFmtId="166" formatCode="0.0%"/>
    <numFmt numFmtId="167" formatCode="#,##0,;\(&quot;$&quot;#,##0,\)"/>
    <numFmt numFmtId="168" formatCode="&quot;$&quot;#,##0,;\(&quot;$&quot;#,##0,\)"/>
    <numFmt numFmtId="169" formatCode="0.0%;\(0.0%\)"/>
    <numFmt numFmtId="170" formatCode="_(* #,##0_);_(* \(#,##0\);_(* &quot;-&quot;??_);_(@_)"/>
    <numFmt numFmtId="171" formatCode="_(* #,##0.0_);_(* \(#,##0.0\);_(* &quot;-&quot;??_);_(@_)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Calibri"/>
      <family val="2"/>
    </font>
    <font>
      <b/>
      <sz val="22"/>
      <name val="Calibri"/>
      <family val="2"/>
    </font>
    <font>
      <b/>
      <sz val="10"/>
      <name val="Calibri"/>
      <family val="2"/>
    </font>
    <font>
      <b/>
      <sz val="16"/>
      <name val="Calibri"/>
      <family val="2"/>
    </font>
    <font>
      <sz val="10"/>
      <name val="Calibri"/>
      <family val="2"/>
    </font>
    <font>
      <sz val="14"/>
      <name val="Calibri"/>
      <family val="2"/>
    </font>
    <font>
      <sz val="10"/>
      <color theme="0"/>
      <name val="Calibri"/>
      <family val="2"/>
    </font>
    <font>
      <b/>
      <u/>
      <sz val="12"/>
      <name val="Calibri"/>
      <family val="2"/>
    </font>
    <font>
      <sz val="10"/>
      <color indexed="63"/>
      <name val="Calibri"/>
      <family val="2"/>
    </font>
    <font>
      <b/>
      <sz val="10"/>
      <color indexed="63"/>
      <name val="Calibri"/>
      <family val="2"/>
    </font>
    <font>
      <b/>
      <i/>
      <sz val="10"/>
      <color indexed="8"/>
      <name val="Calibri"/>
      <family val="2"/>
    </font>
    <font>
      <b/>
      <sz val="10"/>
      <color rgb="FF0000FF"/>
      <name val="Calibri"/>
      <family val="2"/>
    </font>
    <font>
      <b/>
      <sz val="10"/>
      <color rgb="FF008000"/>
      <name val="Calibri"/>
      <family val="2"/>
    </font>
    <font>
      <sz val="10"/>
      <color indexed="8"/>
      <name val="Calibri"/>
      <family val="2"/>
    </font>
    <font>
      <sz val="10"/>
      <color rgb="FF008000"/>
      <name val="Calibri"/>
      <family val="2"/>
    </font>
    <font>
      <b/>
      <sz val="10"/>
      <color indexed="8"/>
      <name val="Calibri"/>
      <family val="2"/>
    </font>
    <font>
      <b/>
      <i/>
      <sz val="10"/>
      <color indexed="9"/>
      <name val="Calibri"/>
      <family val="2"/>
    </font>
    <font>
      <i/>
      <sz val="10"/>
      <color indexed="9"/>
      <name val="Calibri"/>
      <family val="2"/>
    </font>
    <font>
      <b/>
      <sz val="9"/>
      <name val="Calibri"/>
      <family val="2"/>
    </font>
    <font>
      <b/>
      <vertAlign val="superscript"/>
      <sz val="10"/>
      <name val="Calibri"/>
      <family val="2"/>
    </font>
    <font>
      <b/>
      <i/>
      <sz val="10"/>
      <name val="Calibri"/>
      <family val="2"/>
    </font>
    <font>
      <i/>
      <sz val="10"/>
      <name val="Calibri"/>
      <family val="2"/>
    </font>
    <font>
      <u/>
      <sz val="10"/>
      <color rgb="FF008000"/>
      <name val="Calibri"/>
      <family val="2"/>
    </font>
    <font>
      <vertAlign val="superscript"/>
      <sz val="10"/>
      <name val="Calibri"/>
      <family val="2"/>
    </font>
    <font>
      <i/>
      <sz val="10"/>
      <color indexed="8"/>
      <name val="Calibri"/>
      <family val="2"/>
    </font>
    <font>
      <sz val="10"/>
      <color indexed="9"/>
      <name val="Calibri"/>
      <family val="2"/>
    </font>
    <font>
      <vertAlign val="superscript"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vertAlign val="superscript"/>
      <sz val="16"/>
      <name val="Calibri"/>
      <family val="2"/>
    </font>
    <font>
      <b/>
      <vertAlign val="superscript"/>
      <sz val="10"/>
      <color rgb="FF0000FF"/>
      <name val="Calibri"/>
      <family val="2"/>
    </font>
    <font>
      <sz val="9"/>
      <name val="Calibri"/>
      <family val="2"/>
    </font>
    <font>
      <vertAlign val="superscript"/>
      <sz val="9"/>
      <name val="Calibri"/>
      <family val="2"/>
    </font>
    <font>
      <sz val="12"/>
      <color rgb="FFFF0000"/>
      <name val="Calibri"/>
      <family val="2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164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56">
    <xf numFmtId="0" fontId="0" fillId="0" borderId="0" xfId="0"/>
    <xf numFmtId="164" fontId="3" fillId="0" borderId="0" xfId="2" applyFont="1"/>
    <xf numFmtId="164" fontId="4" fillId="0" borderId="0" xfId="2" applyFont="1" applyAlignment="1">
      <alignment horizontal="left"/>
    </xf>
    <xf numFmtId="164" fontId="5" fillId="0" borderId="0" xfId="2" applyFont="1" applyAlignment="1">
      <alignment horizontal="centerContinuous"/>
    </xf>
    <xf numFmtId="164" fontId="6" fillId="0" borderId="0" xfId="2" applyFont="1" applyAlignment="1">
      <alignment horizontal="left"/>
    </xf>
    <xf numFmtId="164" fontId="7" fillId="0" borderId="0" xfId="2" applyFont="1" applyAlignment="1">
      <alignment horizontal="centerContinuous"/>
    </xf>
    <xf numFmtId="164" fontId="8" fillId="0" borderId="0" xfId="2" applyFont="1" applyAlignment="1">
      <alignment horizontal="left"/>
    </xf>
    <xf numFmtId="164" fontId="9" fillId="0" borderId="0" xfId="2" applyFont="1"/>
    <xf numFmtId="164" fontId="7" fillId="0" borderId="0" xfId="2" applyFont="1"/>
    <xf numFmtId="164" fontId="10" fillId="0" borderId="0" xfId="2" applyFont="1" applyAlignment="1">
      <alignment horizontal="left"/>
    </xf>
    <xf numFmtId="164" fontId="11" fillId="0" borderId="0" xfId="2" applyFont="1"/>
    <xf numFmtId="14" fontId="12" fillId="3" borderId="4" xfId="2" quotePrefix="1" applyNumberFormat="1" applyFont="1" applyFill="1" applyBorder="1" applyAlignment="1">
      <alignment horizontal="center"/>
    </xf>
    <xf numFmtId="164" fontId="13" fillId="0" borderId="0" xfId="2" applyFont="1"/>
    <xf numFmtId="14" fontId="14" fillId="0" borderId="2" xfId="2" applyNumberFormat="1" applyFont="1" applyBorder="1" applyAlignment="1">
      <alignment horizontal="center"/>
    </xf>
    <xf numFmtId="165" fontId="12" fillId="3" borderId="6" xfId="3" quotePrefix="1" applyNumberFormat="1" applyFont="1" applyFill="1" applyBorder="1" applyAlignment="1">
      <alignment horizontal="center"/>
    </xf>
    <xf numFmtId="164" fontId="7" fillId="0" borderId="0" xfId="2" applyFont="1" applyAlignment="1">
      <alignment horizontal="left" indent="1"/>
    </xf>
    <xf numFmtId="164" fontId="7" fillId="0" borderId="0" xfId="2" applyFont="1" applyAlignment="1">
      <alignment horizontal="right" wrapText="1"/>
    </xf>
    <xf numFmtId="164" fontId="7" fillId="0" borderId="0" xfId="2" quotePrefix="1" applyFont="1" applyAlignment="1">
      <alignment horizontal="right"/>
    </xf>
    <xf numFmtId="166" fontId="7" fillId="4" borderId="6" xfId="4" applyNumberFormat="1" applyFont="1" applyFill="1" applyBorder="1"/>
    <xf numFmtId="164" fontId="5" fillId="0" borderId="0" xfId="2" applyFont="1"/>
    <xf numFmtId="164" fontId="7" fillId="0" borderId="0" xfId="2" applyFont="1" applyAlignment="1">
      <alignment horizontal="left" indent="2"/>
    </xf>
    <xf numFmtId="166" fontId="15" fillId="0" borderId="0" xfId="2" applyNumberFormat="1" applyFont="1"/>
    <xf numFmtId="167" fontId="7" fillId="0" borderId="0" xfId="2" applyNumberFormat="1" applyFont="1"/>
    <xf numFmtId="167" fontId="16" fillId="4" borderId="6" xfId="2" applyNumberFormat="1" applyFont="1" applyFill="1" applyBorder="1"/>
    <xf numFmtId="166" fontId="17" fillId="0" borderId="0" xfId="2" applyNumberFormat="1" applyFont="1"/>
    <xf numFmtId="37" fontId="17" fillId="0" borderId="0" xfId="2" applyNumberFormat="1" applyFont="1"/>
    <xf numFmtId="164" fontId="5" fillId="0" borderId="0" xfId="2" applyFont="1" applyAlignment="1">
      <alignment horizontal="left" indent="1"/>
    </xf>
    <xf numFmtId="166" fontId="18" fillId="0" borderId="0" xfId="2" applyNumberFormat="1" applyFont="1"/>
    <xf numFmtId="168" fontId="18" fillId="0" borderId="7" xfId="2" applyNumberFormat="1" applyFont="1" applyBorder="1"/>
    <xf numFmtId="167" fontId="18" fillId="4" borderId="8" xfId="2" applyNumberFormat="1" applyFont="1" applyFill="1" applyBorder="1"/>
    <xf numFmtId="164" fontId="19" fillId="0" borderId="0" xfId="2" applyFont="1"/>
    <xf numFmtId="164" fontId="20" fillId="0" borderId="0" xfId="2" applyFont="1" applyAlignment="1">
      <alignment horizontal="left" indent="1"/>
    </xf>
    <xf numFmtId="166" fontId="19" fillId="0" borderId="0" xfId="4" applyNumberFormat="1" applyFont="1" applyFill="1" applyBorder="1" applyAlignment="1">
      <alignment horizontal="right"/>
    </xf>
    <xf numFmtId="166" fontId="19" fillId="4" borderId="6" xfId="4" applyNumberFormat="1" applyFont="1" applyFill="1" applyBorder="1"/>
    <xf numFmtId="164" fontId="21" fillId="0" borderId="0" xfId="2" applyFont="1"/>
    <xf numFmtId="164" fontId="21" fillId="0" borderId="0" xfId="2" applyFont="1" applyAlignment="1">
      <alignment horizontal="right"/>
    </xf>
    <xf numFmtId="169" fontId="14" fillId="0" borderId="0" xfId="4" quotePrefix="1" applyNumberFormat="1" applyFont="1" applyFill="1" applyBorder="1" applyAlignment="1">
      <alignment horizontal="right"/>
    </xf>
    <xf numFmtId="169" fontId="14" fillId="4" borderId="6" xfId="4" quotePrefix="1" applyNumberFormat="1" applyFont="1" applyFill="1" applyBorder="1" applyAlignment="1">
      <alignment horizontal="right"/>
    </xf>
    <xf numFmtId="164" fontId="7" fillId="4" borderId="6" xfId="2" applyFont="1" applyFill="1" applyBorder="1"/>
    <xf numFmtId="166" fontId="17" fillId="0" borderId="0" xfId="4" applyNumberFormat="1" applyFont="1" applyFill="1" applyBorder="1"/>
    <xf numFmtId="164" fontId="16" fillId="0" borderId="0" xfId="2" applyFont="1"/>
    <xf numFmtId="168" fontId="18" fillId="0" borderId="9" xfId="2" applyNumberFormat="1" applyFont="1" applyBorder="1"/>
    <xf numFmtId="168" fontId="18" fillId="4" borderId="10" xfId="2" applyNumberFormat="1" applyFont="1" applyFill="1" applyBorder="1"/>
    <xf numFmtId="166" fontId="13" fillId="0" borderId="0" xfId="4" applyNumberFormat="1" applyFont="1" applyFill="1" applyBorder="1" applyAlignment="1">
      <alignment horizontal="right"/>
    </xf>
    <xf numFmtId="166" fontId="23" fillId="4" borderId="11" xfId="4" applyNumberFormat="1" applyFont="1" applyFill="1" applyBorder="1" applyAlignment="1"/>
    <xf numFmtId="5" fontId="16" fillId="0" borderId="0" xfId="2" applyNumberFormat="1" applyFont="1"/>
    <xf numFmtId="5" fontId="7" fillId="4" borderId="6" xfId="2" applyNumberFormat="1" applyFont="1" applyFill="1" applyBorder="1"/>
    <xf numFmtId="167" fontId="7" fillId="4" borderId="6" xfId="2" applyNumberFormat="1" applyFont="1" applyFill="1" applyBorder="1"/>
    <xf numFmtId="43" fontId="7" fillId="0" borderId="0" xfId="3" applyFont="1" applyFill="1"/>
    <xf numFmtId="43" fontId="7" fillId="0" borderId="0" xfId="3" applyFont="1" applyFill="1" applyBorder="1"/>
    <xf numFmtId="167" fontId="7" fillId="0" borderId="7" xfId="2" applyNumberFormat="1" applyFont="1" applyBorder="1"/>
    <xf numFmtId="168" fontId="7" fillId="4" borderId="10" xfId="2" applyNumberFormat="1" applyFont="1" applyFill="1" applyBorder="1"/>
    <xf numFmtId="164" fontId="7" fillId="0" borderId="0" xfId="2" applyFont="1" applyAlignment="1">
      <alignment vertical="top"/>
    </xf>
    <xf numFmtId="43" fontId="24" fillId="0" borderId="0" xfId="3" applyFont="1" applyFill="1" applyAlignment="1">
      <alignment horizontal="left" vertical="top" indent="1"/>
    </xf>
    <xf numFmtId="43" fontId="7" fillId="0" borderId="0" xfId="3" applyFont="1" applyFill="1" applyBorder="1" applyAlignment="1">
      <alignment vertical="top"/>
    </xf>
    <xf numFmtId="166" fontId="24" fillId="0" borderId="0" xfId="1" applyNumberFormat="1" applyFont="1" applyFill="1" applyAlignment="1">
      <alignment vertical="top"/>
    </xf>
    <xf numFmtId="166" fontId="24" fillId="4" borderId="11" xfId="1" applyNumberFormat="1" applyFont="1" applyFill="1" applyBorder="1" applyAlignment="1">
      <alignment vertical="top"/>
    </xf>
    <xf numFmtId="43" fontId="7" fillId="4" borderId="6" xfId="3" applyFont="1" applyFill="1" applyBorder="1"/>
    <xf numFmtId="164" fontId="7" fillId="0" borderId="0" xfId="2" applyFont="1" applyAlignment="1">
      <alignment horizontal="left" wrapText="1" indent="1"/>
    </xf>
    <xf numFmtId="166" fontId="25" fillId="0" borderId="0" xfId="2" applyNumberFormat="1" applyFont="1"/>
    <xf numFmtId="167" fontId="7" fillId="0" borderId="2" xfId="2" applyNumberFormat="1" applyFont="1" applyBorder="1"/>
    <xf numFmtId="166" fontId="16" fillId="0" borderId="0" xfId="2" applyNumberFormat="1" applyFont="1"/>
    <xf numFmtId="168" fontId="5" fillId="0" borderId="0" xfId="2" applyNumberFormat="1" applyFont="1"/>
    <xf numFmtId="170" fontId="24" fillId="0" borderId="0" xfId="3" applyNumberFormat="1" applyFont="1" applyFill="1" applyAlignment="1">
      <alignment horizontal="left" vertical="top" indent="2"/>
    </xf>
    <xf numFmtId="166" fontId="27" fillId="0" borderId="0" xfId="1" applyNumberFormat="1" applyFont="1" applyFill="1" applyBorder="1" applyAlignment="1">
      <alignment vertical="top"/>
    </xf>
    <xf numFmtId="166" fontId="7" fillId="4" borderId="6" xfId="1" applyNumberFormat="1" applyFont="1" applyFill="1" applyBorder="1" applyAlignment="1">
      <alignment vertical="top"/>
    </xf>
    <xf numFmtId="167" fontId="5" fillId="0" borderId="0" xfId="2" applyNumberFormat="1" applyFont="1"/>
    <xf numFmtId="167" fontId="5" fillId="4" borderId="6" xfId="2" applyNumberFormat="1" applyFont="1" applyFill="1" applyBorder="1"/>
    <xf numFmtId="168" fontId="16" fillId="0" borderId="7" xfId="2" applyNumberFormat="1" applyFont="1" applyBorder="1"/>
    <xf numFmtId="164" fontId="23" fillId="0" borderId="0" xfId="2" applyFont="1" applyAlignment="1">
      <alignment horizontal="left" indent="1"/>
    </xf>
    <xf numFmtId="166" fontId="13" fillId="0" borderId="0" xfId="4" applyNumberFormat="1" applyFont="1" applyFill="1" applyBorder="1"/>
    <xf numFmtId="166" fontId="23" fillId="4" borderId="6" xfId="4" applyNumberFormat="1" applyFont="1" applyFill="1" applyBorder="1"/>
    <xf numFmtId="168" fontId="16" fillId="0" borderId="9" xfId="2" applyNumberFormat="1" applyFont="1" applyBorder="1"/>
    <xf numFmtId="171" fontId="13" fillId="0" borderId="0" xfId="2" applyNumberFormat="1" applyFont="1"/>
    <xf numFmtId="171" fontId="16" fillId="0" borderId="0" xfId="3" applyNumberFormat="1" applyFont="1" applyFill="1" applyBorder="1"/>
    <xf numFmtId="171" fontId="28" fillId="4" borderId="6" xfId="3" applyNumberFormat="1" applyFont="1" applyFill="1" applyBorder="1"/>
    <xf numFmtId="7" fontId="16" fillId="0" borderId="0" xfId="2" applyNumberFormat="1" applyFont="1"/>
    <xf numFmtId="7" fontId="7" fillId="4" borderId="6" xfId="2" applyNumberFormat="1" applyFont="1" applyFill="1" applyBorder="1"/>
    <xf numFmtId="7" fontId="5" fillId="4" borderId="6" xfId="2" applyNumberFormat="1" applyFont="1" applyFill="1" applyBorder="1"/>
    <xf numFmtId="169" fontId="27" fillId="0" borderId="0" xfId="4" applyNumberFormat="1" applyFont="1" applyFill="1" applyBorder="1" applyAlignment="1">
      <alignment horizontal="right" vertical="top"/>
    </xf>
    <xf numFmtId="169" fontId="27" fillId="4" borderId="6" xfId="4" applyNumberFormat="1" applyFont="1" applyFill="1" applyBorder="1" applyAlignment="1">
      <alignment horizontal="right" vertical="top"/>
    </xf>
    <xf numFmtId="7" fontId="27" fillId="0" borderId="0" xfId="2" quotePrefix="1" applyNumberFormat="1" applyFont="1" applyAlignment="1">
      <alignment horizontal="center"/>
    </xf>
    <xf numFmtId="7" fontId="24" fillId="4" borderId="6" xfId="2" quotePrefix="1" applyNumberFormat="1" applyFont="1" applyFill="1" applyBorder="1" applyAlignment="1">
      <alignment horizontal="center"/>
    </xf>
    <xf numFmtId="164" fontId="23" fillId="0" borderId="0" xfId="2" applyFont="1"/>
    <xf numFmtId="168" fontId="16" fillId="0" borderId="0" xfId="2" applyNumberFormat="1" applyFont="1"/>
    <xf numFmtId="168" fontId="16" fillId="4" borderId="6" xfId="2" applyNumberFormat="1" applyFont="1" applyFill="1" applyBorder="1"/>
    <xf numFmtId="167" fontId="16" fillId="0" borderId="0" xfId="2" applyNumberFormat="1" applyFont="1"/>
    <xf numFmtId="167" fontId="16" fillId="4" borderId="12" xfId="2" applyNumberFormat="1" applyFont="1" applyFill="1" applyBorder="1"/>
    <xf numFmtId="164" fontId="24" fillId="0" borderId="0" xfId="2" applyFont="1" applyAlignment="1">
      <alignment horizontal="left" indent="1"/>
    </xf>
    <xf numFmtId="164" fontId="27" fillId="0" borderId="0" xfId="2" applyFont="1"/>
    <xf numFmtId="166" fontId="27" fillId="0" borderId="0" xfId="4" applyNumberFormat="1" applyFont="1" applyFill="1" applyBorder="1"/>
    <xf numFmtId="166" fontId="27" fillId="4" borderId="13" xfId="4" applyNumberFormat="1" applyFont="1" applyFill="1" applyBorder="1"/>
    <xf numFmtId="49" fontId="7" fillId="0" borderId="0" xfId="3" applyNumberFormat="1" applyFont="1" applyFill="1"/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14" fontId="12" fillId="5" borderId="11" xfId="2" quotePrefix="1" applyNumberFormat="1" applyFont="1" applyFill="1" applyBorder="1" applyAlignment="1">
      <alignment horizontal="center"/>
    </xf>
    <xf numFmtId="14" fontId="14" fillId="0" borderId="14" xfId="2" applyNumberFormat="1" applyFont="1" applyBorder="1" applyAlignment="1">
      <alignment horizontal="center"/>
    </xf>
    <xf numFmtId="165" fontId="12" fillId="5" borderId="6" xfId="3" quotePrefix="1" applyNumberFormat="1" applyFont="1" applyFill="1" applyBorder="1" applyAlignment="1">
      <alignment horizontal="center"/>
    </xf>
    <xf numFmtId="168" fontId="5" fillId="0" borderId="9" xfId="2" applyNumberFormat="1" applyFont="1" applyBorder="1"/>
    <xf numFmtId="166" fontId="23" fillId="0" borderId="0" xfId="4" applyNumberFormat="1" applyFont="1" applyFill="1" applyBorder="1" applyAlignment="1">
      <alignment horizontal="right"/>
    </xf>
    <xf numFmtId="168" fontId="18" fillId="4" borderId="13" xfId="2" applyNumberFormat="1" applyFont="1" applyFill="1" applyBorder="1"/>
    <xf numFmtId="166" fontId="24" fillId="4" borderId="15" xfId="1" applyNumberFormat="1" applyFont="1" applyFill="1" applyBorder="1" applyAlignment="1">
      <alignment vertical="top"/>
    </xf>
    <xf numFmtId="0" fontId="30" fillId="0" borderId="0" xfId="0" applyFont="1"/>
    <xf numFmtId="166" fontId="23" fillId="4" borderId="11" xfId="4" applyNumberFormat="1" applyFont="1" applyFill="1" applyBorder="1" applyAlignment="1">
      <alignment horizontal="right"/>
    </xf>
    <xf numFmtId="43" fontId="7" fillId="0" borderId="0" xfId="3" applyFont="1" applyFill="1" applyAlignment="1"/>
    <xf numFmtId="14" fontId="12" fillId="3" borderId="11" xfId="2" quotePrefix="1" applyNumberFormat="1" applyFont="1" applyFill="1" applyBorder="1" applyAlignment="1">
      <alignment horizontal="center"/>
    </xf>
    <xf numFmtId="169" fontId="24" fillId="0" borderId="0" xfId="1" applyNumberFormat="1" applyFont="1" applyFill="1" applyAlignment="1">
      <alignment vertical="top"/>
    </xf>
    <xf numFmtId="169" fontId="24" fillId="4" borderId="15" xfId="1" applyNumberFormat="1" applyFont="1" applyFill="1" applyBorder="1" applyAlignment="1">
      <alignment vertical="top"/>
    </xf>
    <xf numFmtId="43" fontId="34" fillId="0" borderId="0" xfId="3" applyFont="1" applyFill="1"/>
    <xf numFmtId="167" fontId="5" fillId="0" borderId="7" xfId="2" applyNumberFormat="1" applyFont="1" applyBorder="1"/>
    <xf numFmtId="168" fontId="5" fillId="4" borderId="10" xfId="2" applyNumberFormat="1" applyFont="1" applyFill="1" applyBorder="1"/>
    <xf numFmtId="164" fontId="7" fillId="4" borderId="11" xfId="2" applyFont="1" applyFill="1" applyBorder="1"/>
    <xf numFmtId="164" fontId="16" fillId="4" borderId="6" xfId="2" applyFont="1" applyFill="1" applyBorder="1"/>
    <xf numFmtId="167" fontId="7" fillId="4" borderId="8" xfId="2" applyNumberFormat="1" applyFont="1" applyFill="1" applyBorder="1"/>
    <xf numFmtId="43" fontId="7" fillId="4" borderId="11" xfId="3" applyFont="1" applyFill="1" applyBorder="1"/>
    <xf numFmtId="14" fontId="12" fillId="3" borderId="5" xfId="2" quotePrefix="1" applyNumberFormat="1" applyFont="1" applyFill="1" applyBorder="1"/>
    <xf numFmtId="14" fontId="12" fillId="3" borderId="0" xfId="2" quotePrefix="1" applyNumberFormat="1" applyFont="1" applyFill="1"/>
    <xf numFmtId="164" fontId="36" fillId="0" borderId="0" xfId="2" applyFont="1"/>
    <xf numFmtId="169" fontId="24" fillId="0" borderId="15" xfId="1" applyNumberFormat="1" applyFont="1" applyFill="1" applyBorder="1" applyAlignment="1">
      <alignment vertical="top"/>
    </xf>
    <xf numFmtId="167" fontId="5" fillId="0" borderId="9" xfId="2" applyNumberFormat="1" applyFont="1" applyBorder="1"/>
    <xf numFmtId="167" fontId="7" fillId="6" borderId="0" xfId="2" applyNumberFormat="1" applyFont="1" applyFill="1"/>
    <xf numFmtId="167" fontId="7" fillId="6" borderId="7" xfId="2" applyNumberFormat="1" applyFont="1" applyFill="1" applyBorder="1"/>
    <xf numFmtId="0" fontId="37" fillId="0" borderId="0" xfId="0" applyFont="1"/>
    <xf numFmtId="170" fontId="37" fillId="0" borderId="0" xfId="5" applyNumberFormat="1" applyFont="1"/>
    <xf numFmtId="166" fontId="37" fillId="0" borderId="0" xfId="1" applyNumberFormat="1" applyFont="1"/>
    <xf numFmtId="14" fontId="37" fillId="0" borderId="0" xfId="5" applyNumberFormat="1" applyFont="1"/>
    <xf numFmtId="170" fontId="37" fillId="7" borderId="0" xfId="5" applyNumberFormat="1" applyFont="1" applyFill="1"/>
    <xf numFmtId="0" fontId="0" fillId="7" borderId="0" xfId="0" applyFill="1"/>
    <xf numFmtId="10" fontId="37" fillId="0" borderId="0" xfId="1" applyNumberFormat="1" applyFont="1"/>
    <xf numFmtId="170" fontId="38" fillId="0" borderId="0" xfId="5" applyNumberFormat="1" applyFont="1" applyFill="1" applyBorder="1"/>
    <xf numFmtId="168" fontId="16" fillId="6" borderId="9" xfId="2" applyNumberFormat="1" applyFont="1" applyFill="1" applyBorder="1"/>
    <xf numFmtId="171" fontId="16" fillId="6" borderId="0" xfId="3" applyNumberFormat="1" applyFont="1" applyFill="1" applyBorder="1"/>
    <xf numFmtId="7" fontId="16" fillId="6" borderId="0" xfId="2" applyNumberFormat="1" applyFont="1" applyFill="1"/>
    <xf numFmtId="169" fontId="27" fillId="6" borderId="0" xfId="4" applyNumberFormat="1" applyFont="1" applyFill="1" applyBorder="1" applyAlignment="1">
      <alignment horizontal="right" vertical="top"/>
    </xf>
    <xf numFmtId="7" fontId="27" fillId="6" borderId="0" xfId="2" quotePrefix="1" applyNumberFormat="1" applyFont="1" applyFill="1" applyAlignment="1">
      <alignment horizontal="center"/>
    </xf>
    <xf numFmtId="167" fontId="5" fillId="6" borderId="0" xfId="2" applyNumberFormat="1" applyFont="1" applyFill="1"/>
    <xf numFmtId="168" fontId="16" fillId="6" borderId="0" xfId="2" applyNumberFormat="1" applyFont="1" applyFill="1"/>
    <xf numFmtId="167" fontId="16" fillId="6" borderId="0" xfId="2" applyNumberFormat="1" applyFont="1" applyFill="1"/>
    <xf numFmtId="168" fontId="16" fillId="6" borderId="7" xfId="2" applyNumberFormat="1" applyFont="1" applyFill="1" applyBorder="1"/>
    <xf numFmtId="166" fontId="27" fillId="6" borderId="0" xfId="4" applyNumberFormat="1" applyFont="1" applyFill="1" applyBorder="1"/>
    <xf numFmtId="0" fontId="30" fillId="0" borderId="0" xfId="0" applyFont="1" applyAlignment="1">
      <alignment horizontal="left" vertical="center" wrapText="1"/>
    </xf>
    <xf numFmtId="14" fontId="12" fillId="2" borderId="1" xfId="2" quotePrefix="1" applyNumberFormat="1" applyFont="1" applyFill="1" applyBorder="1" applyAlignment="1">
      <alignment horizontal="center"/>
    </xf>
    <xf numFmtId="14" fontId="12" fillId="2" borderId="2" xfId="2" quotePrefix="1" applyNumberFormat="1" applyFont="1" applyFill="1" applyBorder="1" applyAlignment="1">
      <alignment horizontal="center"/>
    </xf>
    <xf numFmtId="14" fontId="12" fillId="2" borderId="3" xfId="2" quotePrefix="1" applyNumberFormat="1" applyFont="1" applyFill="1" applyBorder="1" applyAlignment="1">
      <alignment horizontal="center"/>
    </xf>
    <xf numFmtId="14" fontId="12" fillId="3" borderId="5" xfId="2" quotePrefix="1" applyNumberFormat="1" applyFont="1" applyFill="1" applyBorder="1" applyAlignment="1">
      <alignment horizontal="center"/>
    </xf>
    <xf numFmtId="14" fontId="12" fillId="3" borderId="0" xfId="2" quotePrefix="1" applyNumberFormat="1" applyFont="1" applyFill="1" applyAlignment="1">
      <alignment horizontal="center"/>
    </xf>
    <xf numFmtId="0" fontId="29" fillId="0" borderId="0" xfId="0" applyFont="1" applyAlignment="1">
      <alignment horizontal="left" vertical="center" wrapText="1"/>
    </xf>
    <xf numFmtId="49" fontId="7" fillId="0" borderId="0" xfId="3" applyNumberFormat="1" applyFont="1" applyFill="1" applyAlignment="1">
      <alignment horizontal="left" wrapText="1"/>
    </xf>
    <xf numFmtId="49" fontId="7" fillId="0" borderId="0" xfId="3" applyNumberFormat="1" applyFont="1" applyFill="1" applyAlignment="1">
      <alignment vertical="center" wrapText="1"/>
    </xf>
    <xf numFmtId="164" fontId="5" fillId="2" borderId="5" xfId="2" applyFont="1" applyFill="1" applyBorder="1" applyAlignment="1">
      <alignment horizontal="center"/>
    </xf>
    <xf numFmtId="164" fontId="5" fillId="2" borderId="0" xfId="2" applyFont="1" applyFill="1" applyAlignment="1">
      <alignment horizontal="center"/>
    </xf>
    <xf numFmtId="164" fontId="5" fillId="2" borderId="16" xfId="2" applyFont="1" applyFill="1" applyBorder="1" applyAlignment="1">
      <alignment horizontal="center"/>
    </xf>
    <xf numFmtId="14" fontId="12" fillId="2" borderId="5" xfId="2" quotePrefix="1" applyNumberFormat="1" applyFont="1" applyFill="1" applyBorder="1" applyAlignment="1">
      <alignment horizontal="center"/>
    </xf>
    <xf numFmtId="14" fontId="12" fillId="2" borderId="0" xfId="2" quotePrefix="1" applyNumberFormat="1" applyFont="1" applyFill="1" applyAlignment="1">
      <alignment horizontal="center"/>
    </xf>
    <xf numFmtId="14" fontId="12" fillId="2" borderId="16" xfId="2" quotePrefix="1" applyNumberFormat="1" applyFont="1" applyFill="1" applyBorder="1" applyAlignment="1">
      <alignment horizontal="center"/>
    </xf>
    <xf numFmtId="14" fontId="12" fillId="3" borderId="16" xfId="2" quotePrefix="1" applyNumberFormat="1" applyFont="1" applyFill="1" applyBorder="1" applyAlignment="1">
      <alignment horizontal="center"/>
    </xf>
  </cellXfs>
  <cellStyles count="6">
    <cellStyle name="Comma" xfId="5" builtinId="3"/>
    <cellStyle name="Comma 2" xfId="3" xr:uid="{00000000-0005-0000-0000-000000000000}"/>
    <cellStyle name="Normal" xfId="0" builtinId="0"/>
    <cellStyle name="Normal 10" xfId="2" xr:uid="{00000000-0005-0000-0000-000002000000}"/>
    <cellStyle name="Percent" xfId="1" builtinId="5"/>
    <cellStyle name="Percent 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xFinance/Financial%20Planning%20&amp;%20Analysis/Company%20Model/2022%20Models/09%20-%202022/HLM/RCII%20Company%20Model_09-2022%20(10.30.22)%20-%20Final%209+3F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ExFinance/Financial%20Planning%20&amp;%20Analysis/Company%20Model/2022%20Models/06%20-%202022/HLM/RCII%20Company%20Model_06-2022%20(07.26.22)%20-%206+6F%20(Final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x Costs"/>
      <sheetName val="HLM Mth Checklist"/>
      <sheetName val="Fcst &amp; Plan Checklist"/>
      <sheetName val="10 Year Consolidated"/>
      <sheetName val="10 Year Redesign"/>
      <sheetName val="10 Year Redesign orig"/>
      <sheetName val="10 Year Base"/>
      <sheetName val="Initiative Summary"/>
      <sheetName val="Consolidated"/>
      <sheetName val="Consolidated Programs"/>
      <sheetName val="Consolidated Base"/>
      <sheetName val="Core Consolidated"/>
      <sheetName val="Core Programs"/>
      <sheetName val="Core Base"/>
      <sheetName val="ANOW Consolidated"/>
      <sheetName val="ANOW Programs"/>
      <sheetName val="ANOW Base"/>
      <sheetName val="MEX Consolidated"/>
      <sheetName val="MEX Programs"/>
      <sheetName val="MEX Base"/>
      <sheetName val="FRA Consolidated"/>
      <sheetName val="FRA Programs"/>
      <sheetName val="FRA Base"/>
      <sheetName val="Corporate Consolidated"/>
      <sheetName val="Corporate Programs"/>
      <sheetName val="Corporate Base"/>
      <sheetName val="Variance tabs ---&gt;"/>
      <sheetName val="Prior"/>
      <sheetName val="var vs prior"/>
      <sheetName val="plan"/>
      <sheetName val="var to plan"/>
      <sheetName val="Support tabs ---&gt;"/>
      <sheetName val="Tax Support"/>
      <sheetName val="HR Support"/>
      <sheetName val="Capital Allocation"/>
      <sheetName val="Core Dashboard"/>
      <sheetName val="Core Graphs"/>
      <sheetName val="PL Dashboard"/>
      <sheetName val="PL Graphs"/>
      <sheetName val="Input &amp; actual tabs ----&gt;"/>
      <sheetName val="Initiatives Tab"/>
      <sheetName val="RAC LRP Input"/>
      <sheetName val="Acima LRP Input"/>
      <sheetName val="Accr Liab"/>
      <sheetName val="Actuals - IS BS CF"/>
      <sheetName val="2020 Top Side"/>
      <sheetName val="2021 Top Side"/>
      <sheetName val="2022 Top Side"/>
      <sheetName val="2023 Top Side"/>
      <sheetName val="Capex &amp; Depr"/>
      <sheetName val="Share Counts"/>
      <sheetName val="Other support --&gt;"/>
      <sheetName val="FCF"/>
      <sheetName val="FCF Summary"/>
      <sheetName val="Store Cou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8">
          <cell r="HV8">
            <v>812</v>
          </cell>
        </row>
        <row r="9">
          <cell r="HV9">
            <v>0</v>
          </cell>
        </row>
        <row r="10">
          <cell r="HV10">
            <v>63</v>
          </cell>
        </row>
        <row r="11">
          <cell r="HV11">
            <v>16040</v>
          </cell>
        </row>
      </sheetData>
      <sheetData sheetId="18"/>
      <sheetData sheetId="19"/>
      <sheetData sheetId="20"/>
      <sheetData sheetId="21"/>
      <sheetData sheetId="22"/>
      <sheetData sheetId="23">
        <row r="35">
          <cell r="HV35">
            <v>-42880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x Costs"/>
      <sheetName val="HLM Mth Checklist"/>
      <sheetName val="Fcst &amp; Plan Checklist"/>
      <sheetName val="10 Year Consolidated"/>
      <sheetName val="10 Year Redesign"/>
      <sheetName val="10 Year Redesign orig"/>
      <sheetName val="10 Year Base"/>
      <sheetName val="Initiative Summary"/>
      <sheetName val="Consolidated"/>
      <sheetName val="Consolidated Programs"/>
      <sheetName val="Consolidated Base"/>
      <sheetName val="Core Consolidated"/>
      <sheetName val="Core Programs"/>
      <sheetName val="Core Base"/>
      <sheetName val="ANOW Consolidated"/>
      <sheetName val="ANOW Programs"/>
      <sheetName val="ANOW Base"/>
      <sheetName val="MEX Consolidated"/>
      <sheetName val="MEX Programs"/>
      <sheetName val="MEX Base"/>
      <sheetName val="FRA Consolidated"/>
      <sheetName val="FRA Programs"/>
      <sheetName val="FRA Base"/>
      <sheetName val="Corporate Consolidated"/>
      <sheetName val="Corporate Programs"/>
      <sheetName val="Corporate Base"/>
      <sheetName val="Variance tabs ---&gt;"/>
      <sheetName val="Prior"/>
      <sheetName val="var vs prior"/>
      <sheetName val="plan"/>
      <sheetName val="var to plan"/>
      <sheetName val="Support tabs ---&gt;"/>
      <sheetName val="Tax Support"/>
      <sheetName val="HR Support"/>
      <sheetName val="Capital Allocation"/>
      <sheetName val="Core Dashboard"/>
      <sheetName val="Core Graphs"/>
      <sheetName val="PL Dashboard"/>
      <sheetName val="PL Graphs"/>
      <sheetName val="Input &amp; actual tabs ----&gt;"/>
      <sheetName val="Initiatives Tab"/>
      <sheetName val="RAC LRP Input"/>
      <sheetName val="Acima LRP Input"/>
      <sheetName val="Accr Liab"/>
      <sheetName val="Actuals - IS BS CF"/>
      <sheetName val="2020 Top Side"/>
      <sheetName val="2021 Top Side"/>
      <sheetName val="2022 Top Side"/>
      <sheetName val="Capex &amp; Depr"/>
      <sheetName val="Share Counts"/>
      <sheetName val="Other support --&gt;"/>
      <sheetName val="FCF"/>
      <sheetName val="FCF Summary"/>
      <sheetName val="Store Cou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28">
          <cell r="HU28">
            <v>3791.997240141764</v>
          </cell>
        </row>
        <row r="29">
          <cell r="HU29">
            <v>4417.8159579468738</v>
          </cell>
        </row>
        <row r="30">
          <cell r="HU30">
            <v>1489.2820990388277</v>
          </cell>
        </row>
        <row r="31">
          <cell r="HU31">
            <v>162.82161036051443</v>
          </cell>
        </row>
      </sheetData>
      <sheetData sheetId="18"/>
      <sheetData sheetId="19"/>
      <sheetData sheetId="20">
        <row r="10">
          <cell r="HU10">
            <v>627.21991000000003</v>
          </cell>
        </row>
        <row r="13">
          <cell r="HU13">
            <v>26504.547790000004</v>
          </cell>
        </row>
        <row r="14">
          <cell r="HU14">
            <v>7067.0247700000009</v>
          </cell>
        </row>
        <row r="29">
          <cell r="HU29">
            <v>1255.6941699999995</v>
          </cell>
        </row>
        <row r="30">
          <cell r="HU30">
            <v>995.09021999999982</v>
          </cell>
        </row>
        <row r="31">
          <cell r="HU31">
            <v>37.593710000000002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AG69"/>
  <sheetViews>
    <sheetView showGridLines="0" tabSelected="1" view="pageBreakPreview" zoomScale="85" zoomScaleNormal="70" zoomScaleSheetLayoutView="85" workbookViewId="0">
      <pane xSplit="3" ySplit="4" topLeftCell="N5" activePane="bottomRight" state="frozen"/>
      <selection activeCell="AF18" sqref="AF18"/>
      <selection pane="topRight" activeCell="AF18" sqref="AF18"/>
      <selection pane="bottomLeft" activeCell="AF18" sqref="AF18"/>
      <selection pane="bottomRight" activeCell="AG37" sqref="AG37"/>
    </sheetView>
  </sheetViews>
  <sheetFormatPr defaultRowHeight="15" x14ac:dyDescent="0.25"/>
  <cols>
    <col min="1" max="1" width="2.7109375" customWidth="1"/>
    <col min="2" max="2" width="51.140625" customWidth="1"/>
    <col min="3" max="3" width="1.28515625" customWidth="1"/>
    <col min="4" max="4" width="12.5703125" hidden="1" customWidth="1"/>
    <col min="5" max="6" width="11.5703125" hidden="1" customWidth="1"/>
    <col min="7" max="7" width="12" hidden="1" customWidth="1"/>
    <col min="8" max="8" width="14.140625" hidden="1" customWidth="1"/>
    <col min="9" max="9" width="11.140625" hidden="1" customWidth="1"/>
    <col min="10" max="11" width="11.5703125" hidden="1" customWidth="1"/>
    <col min="12" max="12" width="12" hidden="1" customWidth="1"/>
    <col min="13" max="13" width="14.42578125" hidden="1" customWidth="1"/>
    <col min="14" max="14" width="11.140625" hidden="1" customWidth="1"/>
    <col min="15" max="16" width="11.5703125" hidden="1" customWidth="1"/>
    <col min="17" max="17" width="12" hidden="1" customWidth="1"/>
    <col min="18" max="18" width="14.42578125" hidden="1" customWidth="1"/>
    <col min="19" max="19" width="11.5703125" hidden="1" customWidth="1"/>
    <col min="20" max="21" width="12" hidden="1" customWidth="1"/>
    <col min="22" max="22" width="12.42578125" hidden="1" customWidth="1"/>
    <col min="23" max="23" width="13.28515625" customWidth="1"/>
    <col min="24" max="29" width="12.28515625" customWidth="1"/>
    <col min="30" max="31" width="12" customWidth="1"/>
    <col min="32" max="32" width="11.5703125" style="123" bestFit="1" customWidth="1"/>
  </cols>
  <sheetData>
    <row r="1" spans="1:32" ht="28.5" x14ac:dyDescent="0.45">
      <c r="A1" s="1"/>
      <c r="B1" s="2" t="s">
        <v>0</v>
      </c>
      <c r="C1" s="3"/>
      <c r="D1" s="3"/>
      <c r="E1" s="1"/>
      <c r="F1" s="1"/>
      <c r="G1" s="1"/>
      <c r="H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AA1" s="1"/>
      <c r="AB1" s="1"/>
    </row>
    <row r="2" spans="1:32" ht="21" x14ac:dyDescent="0.35">
      <c r="A2" s="1"/>
      <c r="B2" s="4" t="s">
        <v>1</v>
      </c>
      <c r="C2" s="5"/>
      <c r="D2" s="5"/>
      <c r="E2" s="1"/>
      <c r="F2" s="1"/>
      <c r="G2" s="1"/>
      <c r="H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AA2" s="1"/>
      <c r="AB2" s="1"/>
    </row>
    <row r="3" spans="1:32" ht="19.5" thickBot="1" x14ac:dyDescent="0.35">
      <c r="A3" s="1"/>
      <c r="B3" s="6" t="s">
        <v>2</v>
      </c>
      <c r="C3" s="7"/>
      <c r="D3" s="8"/>
      <c r="E3" s="1"/>
      <c r="F3" s="1"/>
      <c r="G3" s="1"/>
      <c r="H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AA3" s="1"/>
      <c r="AB3" s="1"/>
    </row>
    <row r="4" spans="1:32" ht="16.5" thickTop="1" x14ac:dyDescent="0.25">
      <c r="A4" s="8"/>
      <c r="B4" s="9" t="s">
        <v>3</v>
      </c>
      <c r="C4" s="10"/>
      <c r="D4" s="141" t="s">
        <v>4</v>
      </c>
      <c r="E4" s="142"/>
      <c r="F4" s="142"/>
      <c r="G4" s="143"/>
      <c r="H4" s="11" t="s">
        <v>5</v>
      </c>
      <c r="I4" s="144" t="s">
        <v>4</v>
      </c>
      <c r="J4" s="145"/>
      <c r="K4" s="145"/>
      <c r="L4" s="145"/>
      <c r="M4" s="11" t="s">
        <v>5</v>
      </c>
      <c r="N4" s="144" t="s">
        <v>4</v>
      </c>
      <c r="O4" s="145"/>
      <c r="P4" s="145"/>
      <c r="Q4" s="145"/>
      <c r="R4" s="11" t="s">
        <v>5</v>
      </c>
      <c r="S4" s="144" t="s">
        <v>4</v>
      </c>
      <c r="T4" s="145"/>
      <c r="U4" s="145"/>
      <c r="V4" s="145"/>
      <c r="W4" s="11" t="s">
        <v>5</v>
      </c>
      <c r="X4" s="115" t="s">
        <v>4</v>
      </c>
      <c r="Y4" s="116" t="s">
        <v>4</v>
      </c>
      <c r="Z4" s="116" t="s">
        <v>4</v>
      </c>
      <c r="AA4" s="116" t="s">
        <v>4</v>
      </c>
      <c r="AB4" s="11" t="s">
        <v>5</v>
      </c>
      <c r="AC4" s="115" t="s">
        <v>4</v>
      </c>
      <c r="AD4" s="116" t="s">
        <v>4</v>
      </c>
      <c r="AE4" s="116" t="s">
        <v>4</v>
      </c>
    </row>
    <row r="5" spans="1:32" x14ac:dyDescent="0.25">
      <c r="A5" s="8"/>
      <c r="B5" s="12" t="s">
        <v>6</v>
      </c>
      <c r="C5" s="10"/>
      <c r="D5" s="13">
        <v>42825</v>
      </c>
      <c r="E5" s="13">
        <v>42916</v>
      </c>
      <c r="F5" s="13">
        <v>43008</v>
      </c>
      <c r="G5" s="13">
        <v>43100</v>
      </c>
      <c r="H5" s="14">
        <v>2017</v>
      </c>
      <c r="I5" s="13">
        <v>43190</v>
      </c>
      <c r="J5" s="13">
        <v>43281</v>
      </c>
      <c r="K5" s="13" t="s">
        <v>7</v>
      </c>
      <c r="L5" s="13">
        <v>43465</v>
      </c>
      <c r="M5" s="14" t="s">
        <v>8</v>
      </c>
      <c r="N5" s="13">
        <v>43555</v>
      </c>
      <c r="O5" s="13">
        <v>43646</v>
      </c>
      <c r="P5" s="13" t="s">
        <v>9</v>
      </c>
      <c r="Q5" s="13">
        <v>43830</v>
      </c>
      <c r="R5" s="14">
        <v>2019</v>
      </c>
      <c r="S5" s="13">
        <v>43921</v>
      </c>
      <c r="T5" s="13" t="s">
        <v>10</v>
      </c>
      <c r="U5" s="13">
        <v>44104</v>
      </c>
      <c r="V5" s="13">
        <v>44196</v>
      </c>
      <c r="W5" s="14">
        <v>2020</v>
      </c>
      <c r="X5" s="13">
        <v>44286</v>
      </c>
      <c r="Y5" s="13">
        <v>44377</v>
      </c>
      <c r="Z5" s="13">
        <v>44469</v>
      </c>
      <c r="AA5" s="13">
        <v>44561</v>
      </c>
      <c r="AB5" s="14">
        <v>2021</v>
      </c>
      <c r="AC5" s="13">
        <v>44651</v>
      </c>
      <c r="AD5" s="13">
        <v>44742</v>
      </c>
      <c r="AE5" s="13">
        <v>44834</v>
      </c>
      <c r="AF5" s="125"/>
    </row>
    <row r="6" spans="1:32" x14ac:dyDescent="0.25">
      <c r="A6" s="8"/>
      <c r="B6" s="15" t="s">
        <v>11</v>
      </c>
      <c r="C6" s="16"/>
      <c r="D6" s="17"/>
      <c r="E6" s="17"/>
      <c r="F6" s="8"/>
      <c r="G6" s="8"/>
      <c r="H6" s="18"/>
      <c r="J6" s="8"/>
      <c r="K6" s="8"/>
      <c r="L6" s="8"/>
      <c r="M6" s="18"/>
      <c r="O6" s="8"/>
      <c r="P6" s="8"/>
      <c r="Q6" s="8"/>
      <c r="R6" s="18"/>
      <c r="S6" s="8"/>
      <c r="T6" s="8"/>
      <c r="U6" s="8"/>
      <c r="V6" s="8"/>
      <c r="W6" s="18"/>
      <c r="X6" s="8"/>
      <c r="Y6" s="8"/>
      <c r="Z6" s="8"/>
      <c r="AA6" s="8"/>
      <c r="AB6" s="18"/>
      <c r="AC6" s="8"/>
      <c r="AD6" s="8"/>
      <c r="AE6" s="8"/>
    </row>
    <row r="7" spans="1:32" x14ac:dyDescent="0.25">
      <c r="A7" s="19"/>
      <c r="B7" s="20" t="s">
        <v>12</v>
      </c>
      <c r="C7" s="21"/>
      <c r="D7" s="22">
        <v>595414000</v>
      </c>
      <c r="E7" s="22">
        <v>575411000</v>
      </c>
      <c r="F7" s="22">
        <v>552194000</v>
      </c>
      <c r="G7" s="22">
        <v>544722000</v>
      </c>
      <c r="H7" s="23">
        <v>2267741000</v>
      </c>
      <c r="I7" s="22">
        <v>564714000</v>
      </c>
      <c r="J7" s="22">
        <v>562403000</v>
      </c>
      <c r="K7" s="22">
        <v>552580000</v>
      </c>
      <c r="L7" s="22">
        <v>565163000</v>
      </c>
      <c r="M7" s="23">
        <v>2244860000</v>
      </c>
      <c r="N7" s="22">
        <v>563354000</v>
      </c>
      <c r="O7" s="22">
        <v>551680000</v>
      </c>
      <c r="P7" s="22">
        <v>550795000</v>
      </c>
      <c r="Q7" s="22">
        <v>558573000</v>
      </c>
      <c r="R7" s="23">
        <v>2224402000</v>
      </c>
      <c r="S7" s="22">
        <v>568000000</v>
      </c>
      <c r="T7" s="22">
        <v>534737000</v>
      </c>
      <c r="U7" s="22">
        <v>579573000</v>
      </c>
      <c r="V7" s="22">
        <v>580781000</v>
      </c>
      <c r="W7" s="23">
        <v>2263091000</v>
      </c>
      <c r="X7" s="22">
        <v>745534000</v>
      </c>
      <c r="Y7" s="22">
        <v>916405000</v>
      </c>
      <c r="Z7" s="22">
        <v>930849000</v>
      </c>
      <c r="AA7" s="22">
        <v>929665000</v>
      </c>
      <c r="AB7" s="23">
        <f>SUM(X7:AA7)</f>
        <v>3522453000</v>
      </c>
      <c r="AC7" s="120">
        <v>883047000</v>
      </c>
      <c r="AD7" s="120">
        <v>857298000</v>
      </c>
      <c r="AE7" s="120">
        <v>829459000</v>
      </c>
    </row>
    <row r="8" spans="1:32" x14ac:dyDescent="0.25">
      <c r="A8" s="8"/>
      <c r="B8" s="20" t="s">
        <v>13</v>
      </c>
      <c r="C8" s="24"/>
      <c r="D8" s="22">
        <v>121722000</v>
      </c>
      <c r="E8" s="22">
        <v>76773000</v>
      </c>
      <c r="F8" s="22">
        <v>67566000</v>
      </c>
      <c r="G8" s="22">
        <v>65341000</v>
      </c>
      <c r="H8" s="23">
        <v>331402000</v>
      </c>
      <c r="I8" s="22">
        <v>107356000</v>
      </c>
      <c r="J8" s="22">
        <v>64990000</v>
      </c>
      <c r="K8" s="22">
        <v>67141000</v>
      </c>
      <c r="L8" s="22">
        <v>64968000</v>
      </c>
      <c r="M8" s="23">
        <v>304455000</v>
      </c>
      <c r="N8" s="22">
        <v>104470000</v>
      </c>
      <c r="O8" s="22">
        <v>70842000</v>
      </c>
      <c r="P8" s="22">
        <v>65552000</v>
      </c>
      <c r="Q8" s="22">
        <v>63766000</v>
      </c>
      <c r="R8" s="23">
        <v>304630000</v>
      </c>
      <c r="S8" s="22">
        <v>101380000</v>
      </c>
      <c r="T8" s="22">
        <v>108080000</v>
      </c>
      <c r="U8" s="22">
        <v>91233000</v>
      </c>
      <c r="V8" s="22">
        <v>78024000</v>
      </c>
      <c r="W8" s="23">
        <v>378717000</v>
      </c>
      <c r="X8" s="22">
        <v>232793000</v>
      </c>
      <c r="Y8" s="22">
        <v>221229000</v>
      </c>
      <c r="Z8" s="22">
        <v>192016000</v>
      </c>
      <c r="AA8" s="22">
        <v>183184000</v>
      </c>
      <c r="AB8" s="23">
        <f t="shared" ref="AB8:AB11" si="0">SUM(X8:AA8)</f>
        <v>829222000</v>
      </c>
      <c r="AC8" s="120">
        <v>232881000</v>
      </c>
      <c r="AD8" s="120">
        <v>160769000</v>
      </c>
      <c r="AE8" s="120">
        <v>147616061.32000002</v>
      </c>
    </row>
    <row r="9" spans="1:32" x14ac:dyDescent="0.25">
      <c r="A9" s="8"/>
      <c r="B9" s="20" t="s">
        <v>14</v>
      </c>
      <c r="C9" s="24"/>
      <c r="D9" s="22">
        <v>16757000</v>
      </c>
      <c r="E9" s="22">
        <v>17657000</v>
      </c>
      <c r="F9" s="22">
        <v>17276000</v>
      </c>
      <c r="G9" s="22">
        <v>19961000</v>
      </c>
      <c r="H9" s="23">
        <v>71651000</v>
      </c>
      <c r="I9" s="22">
        <v>16404000</v>
      </c>
      <c r="J9" s="22">
        <v>17374000</v>
      </c>
      <c r="K9" s="22">
        <v>15681000</v>
      </c>
      <c r="L9" s="22">
        <v>20113000</v>
      </c>
      <c r="M9" s="23">
        <v>69572000</v>
      </c>
      <c r="N9" s="22">
        <v>15436000</v>
      </c>
      <c r="O9" s="22">
        <v>17270000</v>
      </c>
      <c r="P9" s="22">
        <v>16952000</v>
      </c>
      <c r="Q9" s="22">
        <v>20776000</v>
      </c>
      <c r="R9" s="23">
        <v>70434000</v>
      </c>
      <c r="S9" s="22">
        <v>14747000</v>
      </c>
      <c r="T9" s="22">
        <v>17643000</v>
      </c>
      <c r="U9" s="22">
        <v>16580000</v>
      </c>
      <c r="V9" s="22">
        <v>19530000</v>
      </c>
      <c r="W9" s="23">
        <v>68500000</v>
      </c>
      <c r="X9" s="22">
        <v>17773000</v>
      </c>
      <c r="Y9" s="22">
        <v>18191000</v>
      </c>
      <c r="Z9" s="22">
        <v>17028000</v>
      </c>
      <c r="AA9" s="22">
        <v>20593000</v>
      </c>
      <c r="AB9" s="23">
        <f t="shared" si="0"/>
        <v>73585000</v>
      </c>
      <c r="AC9" s="120">
        <v>17089000</v>
      </c>
      <c r="AD9" s="120">
        <v>18548000</v>
      </c>
      <c r="AE9" s="120">
        <v>16718000</v>
      </c>
    </row>
    <row r="10" spans="1:32" x14ac:dyDescent="0.25">
      <c r="A10" s="8"/>
      <c r="B10" s="20" t="s">
        <v>15</v>
      </c>
      <c r="C10" s="25"/>
      <c r="D10" s="22">
        <v>2652000</v>
      </c>
      <c r="E10" s="22">
        <v>2519000</v>
      </c>
      <c r="F10" s="22">
        <v>2257000</v>
      </c>
      <c r="G10" s="22">
        <v>2192000</v>
      </c>
      <c r="H10" s="23">
        <v>9620000</v>
      </c>
      <c r="I10" s="22">
        <v>2584000</v>
      </c>
      <c r="J10" s="22">
        <v>2271000</v>
      </c>
      <c r="K10" s="22">
        <v>2140000</v>
      </c>
      <c r="L10" s="22">
        <v>2005000</v>
      </c>
      <c r="M10" s="23">
        <v>9000000</v>
      </c>
      <c r="N10" s="22">
        <v>664000</v>
      </c>
      <c r="O10" s="22">
        <v>1244000</v>
      </c>
      <c r="P10" s="22">
        <v>1054000</v>
      </c>
      <c r="Q10" s="22">
        <v>1833000</v>
      </c>
      <c r="R10" s="23">
        <v>4795000</v>
      </c>
      <c r="S10" s="22">
        <v>722000</v>
      </c>
      <c r="T10" s="22">
        <v>775000</v>
      </c>
      <c r="U10" s="22">
        <v>844000</v>
      </c>
      <c r="V10" s="22">
        <v>1504000</v>
      </c>
      <c r="W10" s="23">
        <v>3845000</v>
      </c>
      <c r="X10" s="22">
        <v>918000</v>
      </c>
      <c r="Y10" s="22">
        <v>1035000</v>
      </c>
      <c r="Z10" s="22">
        <v>1082000</v>
      </c>
      <c r="AA10" s="22">
        <v>1113000</v>
      </c>
      <c r="AB10" s="23">
        <f t="shared" si="0"/>
        <v>4148000</v>
      </c>
      <c r="AC10" s="120">
        <v>1290000</v>
      </c>
      <c r="AD10" s="120">
        <v>1068000</v>
      </c>
      <c r="AE10" s="120">
        <v>1340000</v>
      </c>
    </row>
    <row r="11" spans="1:32" x14ac:dyDescent="0.25">
      <c r="A11" s="8"/>
      <c r="B11" s="26" t="s">
        <v>16</v>
      </c>
      <c r="C11" s="27"/>
      <c r="D11" s="28">
        <v>736545000</v>
      </c>
      <c r="E11" s="28">
        <v>672360000</v>
      </c>
      <c r="F11" s="28">
        <v>639293000</v>
      </c>
      <c r="G11" s="28">
        <v>632216000</v>
      </c>
      <c r="H11" s="29">
        <v>2680414000</v>
      </c>
      <c r="I11" s="28">
        <v>691058000</v>
      </c>
      <c r="J11" s="28">
        <v>647038000</v>
      </c>
      <c r="K11" s="28">
        <v>637542000</v>
      </c>
      <c r="L11" s="28">
        <v>652249000</v>
      </c>
      <c r="M11" s="29">
        <v>2627887000</v>
      </c>
      <c r="N11" s="28">
        <v>683924000</v>
      </c>
      <c r="O11" s="28">
        <v>641036000</v>
      </c>
      <c r="P11" s="28">
        <v>634353000</v>
      </c>
      <c r="Q11" s="28">
        <v>644948000</v>
      </c>
      <c r="R11" s="29">
        <v>2604261000</v>
      </c>
      <c r="S11" s="28">
        <v>684849000</v>
      </c>
      <c r="T11" s="28">
        <v>661235000</v>
      </c>
      <c r="U11" s="28">
        <v>688230000</v>
      </c>
      <c r="V11" s="28">
        <v>679839000</v>
      </c>
      <c r="W11" s="29">
        <v>2714153000</v>
      </c>
      <c r="X11" s="28">
        <v>997018000</v>
      </c>
      <c r="Y11" s="28">
        <v>1156860000</v>
      </c>
      <c r="Z11" s="28">
        <v>1140975000</v>
      </c>
      <c r="AA11" s="28">
        <f>SUM(AA7:AA10)</f>
        <v>1134555000</v>
      </c>
      <c r="AB11" s="29">
        <f t="shared" si="0"/>
        <v>4429408000</v>
      </c>
      <c r="AC11" s="28">
        <f>SUM(AC7:AC10)</f>
        <v>1134307000</v>
      </c>
      <c r="AD11" s="28">
        <f>SUM(AD7:AD10)</f>
        <v>1037683000</v>
      </c>
      <c r="AE11" s="28">
        <v>995132661.10000002</v>
      </c>
    </row>
    <row r="12" spans="1:32" ht="6" customHeight="1" x14ac:dyDescent="0.25">
      <c r="A12" s="30"/>
      <c r="B12" s="31"/>
      <c r="C12" s="30"/>
      <c r="D12" s="32">
        <v>736545000</v>
      </c>
      <c r="E12" s="32"/>
      <c r="F12" s="32"/>
      <c r="G12" s="32"/>
      <c r="H12" s="33"/>
      <c r="I12" s="32"/>
      <c r="J12" s="32"/>
      <c r="K12" s="32"/>
      <c r="L12" s="32"/>
      <c r="M12" s="33"/>
      <c r="N12" s="32"/>
      <c r="O12" s="32"/>
      <c r="P12" s="32"/>
      <c r="Q12" s="32"/>
      <c r="R12" s="33"/>
      <c r="S12" s="32"/>
      <c r="T12" s="32"/>
      <c r="U12" s="32"/>
      <c r="V12" s="32"/>
      <c r="W12" s="33"/>
      <c r="X12" s="32"/>
      <c r="Y12" s="32">
        <v>0</v>
      </c>
      <c r="Z12" s="32">
        <v>0</v>
      </c>
      <c r="AA12" s="32"/>
      <c r="AB12" s="33"/>
      <c r="AC12" s="32"/>
      <c r="AD12" s="32"/>
      <c r="AE12" s="32"/>
    </row>
    <row r="13" spans="1:32" ht="15.75" x14ac:dyDescent="0.25">
      <c r="A13" s="34"/>
      <c r="B13" s="26" t="s">
        <v>17</v>
      </c>
      <c r="C13" s="35"/>
      <c r="D13" s="36">
        <v>-7.7899999999999997E-2</v>
      </c>
      <c r="E13" s="36">
        <v>-7.4300000000000005E-2</v>
      </c>
      <c r="F13" s="36">
        <v>-3.09E-2</v>
      </c>
      <c r="G13" s="36">
        <v>-2.0400000000000001E-2</v>
      </c>
      <c r="H13" s="37">
        <v>-5.3499999999999999E-2</v>
      </c>
      <c r="I13" s="36">
        <v>8.2000000000000007E-3</v>
      </c>
      <c r="J13" s="36">
        <v>3.6600000000000001E-2</v>
      </c>
      <c r="K13" s="36">
        <v>5.6599999999999998E-2</v>
      </c>
      <c r="L13" s="36">
        <v>9.0999999999999998E-2</v>
      </c>
      <c r="M13" s="37">
        <v>4.7E-2</v>
      </c>
      <c r="N13" s="36">
        <v>6.7900000000000002E-2</v>
      </c>
      <c r="O13" s="36">
        <v>5.8000000000000003E-2</v>
      </c>
      <c r="P13" s="36">
        <v>4.4999999999999998E-2</v>
      </c>
      <c r="Q13" s="36">
        <v>1.5699999999999999E-2</v>
      </c>
      <c r="R13" s="37">
        <v>4.5999999999999999E-2</v>
      </c>
      <c r="S13" s="36"/>
      <c r="T13" s="36"/>
      <c r="U13" s="36"/>
      <c r="V13" s="36"/>
      <c r="W13" s="37"/>
      <c r="X13" s="36"/>
      <c r="Y13" s="36"/>
      <c r="Z13" s="36"/>
      <c r="AA13" s="36"/>
      <c r="AB13" s="37"/>
      <c r="AC13" s="36"/>
      <c r="AD13" s="36"/>
      <c r="AE13" s="36"/>
    </row>
    <row r="14" spans="1:32" ht="4.1500000000000004" customHeight="1" x14ac:dyDescent="0.25">
      <c r="A14" s="8"/>
      <c r="B14" s="15"/>
      <c r="C14" s="8"/>
      <c r="D14" s="8"/>
      <c r="E14" s="8"/>
      <c r="F14" s="8"/>
      <c r="G14" s="8"/>
      <c r="H14" s="38"/>
      <c r="I14" s="8"/>
      <c r="J14" s="8"/>
      <c r="K14" s="8"/>
      <c r="L14" s="8"/>
      <c r="M14" s="38"/>
      <c r="N14" s="8"/>
      <c r="O14" s="8"/>
      <c r="P14" s="8"/>
      <c r="Q14" s="8"/>
      <c r="R14" s="38"/>
      <c r="S14" s="8"/>
      <c r="T14" s="8"/>
      <c r="U14" s="8"/>
      <c r="V14" s="8"/>
      <c r="W14" s="38"/>
      <c r="X14" s="8"/>
      <c r="Y14" s="8">
        <v>7499000</v>
      </c>
      <c r="Z14" s="8">
        <v>7499000</v>
      </c>
      <c r="AA14" s="8"/>
      <c r="AB14" s="38"/>
      <c r="AC14" s="8"/>
      <c r="AD14" s="8"/>
      <c r="AE14" s="8"/>
    </row>
    <row r="15" spans="1:32" x14ac:dyDescent="0.25">
      <c r="A15" s="8"/>
      <c r="B15" s="15" t="s">
        <v>18</v>
      </c>
      <c r="C15" s="39"/>
      <c r="D15" s="22">
        <v>3321000</v>
      </c>
      <c r="E15" s="22">
        <v>3214000</v>
      </c>
      <c r="F15" s="22">
        <v>2676000</v>
      </c>
      <c r="G15" s="22">
        <v>3946000</v>
      </c>
      <c r="H15" s="23">
        <v>13157000</v>
      </c>
      <c r="I15" s="22">
        <v>3634000</v>
      </c>
      <c r="J15" s="22">
        <v>4880000</v>
      </c>
      <c r="K15" s="22">
        <v>4135000</v>
      </c>
      <c r="L15" s="22">
        <v>6438000</v>
      </c>
      <c r="M15" s="23">
        <v>19087000</v>
      </c>
      <c r="N15" s="22">
        <v>8456000</v>
      </c>
      <c r="O15" s="22">
        <v>10673000</v>
      </c>
      <c r="P15" s="22">
        <v>11178000</v>
      </c>
      <c r="Q15" s="22">
        <v>18828000</v>
      </c>
      <c r="R15" s="23">
        <v>49135000</v>
      </c>
      <c r="S15" s="22">
        <v>12437000</v>
      </c>
      <c r="T15" s="22">
        <v>18047000</v>
      </c>
      <c r="U15" s="22">
        <v>19069000</v>
      </c>
      <c r="V15" s="22">
        <v>30470000</v>
      </c>
      <c r="W15" s="23">
        <v>80023000</v>
      </c>
      <c r="X15" s="22">
        <v>33055000</v>
      </c>
      <c r="Y15" s="22">
        <v>29616000</v>
      </c>
      <c r="Z15" s="22">
        <v>33671000</v>
      </c>
      <c r="AA15" s="22">
        <v>30514000</v>
      </c>
      <c r="AB15" s="23">
        <f t="shared" ref="AB15:AB18" si="1">SUM(X15:AA15)</f>
        <v>126856000</v>
      </c>
      <c r="AC15" s="22">
        <v>18521000</v>
      </c>
      <c r="AD15" s="22">
        <v>26504547.790000003</v>
      </c>
      <c r="AE15" s="22">
        <v>22823000</v>
      </c>
    </row>
    <row r="16" spans="1:32" x14ac:dyDescent="0.25">
      <c r="A16" s="8"/>
      <c r="B16" s="15" t="s">
        <v>19</v>
      </c>
      <c r="C16" s="39"/>
      <c r="D16" s="22">
        <v>2120000</v>
      </c>
      <c r="E16" s="22">
        <v>2061000</v>
      </c>
      <c r="F16" s="22">
        <v>1996000</v>
      </c>
      <c r="G16" s="22">
        <v>2792000</v>
      </c>
      <c r="H16" s="23">
        <v>8969000</v>
      </c>
      <c r="I16" s="22">
        <v>3351000</v>
      </c>
      <c r="J16" s="22">
        <v>3812000</v>
      </c>
      <c r="K16" s="22">
        <v>3265000</v>
      </c>
      <c r="L16" s="22">
        <v>3063000</v>
      </c>
      <c r="M16" s="23">
        <v>13491000</v>
      </c>
      <c r="N16" s="22">
        <v>4314000</v>
      </c>
      <c r="O16" s="22">
        <v>4216000</v>
      </c>
      <c r="P16" s="22">
        <v>3840000</v>
      </c>
      <c r="Q16" s="22">
        <v>4086000</v>
      </c>
      <c r="R16" s="23">
        <v>16456000</v>
      </c>
      <c r="S16" s="22">
        <v>4653000</v>
      </c>
      <c r="T16" s="22">
        <v>4464000</v>
      </c>
      <c r="U16" s="22">
        <v>4716000</v>
      </c>
      <c r="V16" s="22">
        <v>6182000</v>
      </c>
      <c r="W16" s="23">
        <v>20015000</v>
      </c>
      <c r="X16" s="22">
        <v>6709000</v>
      </c>
      <c r="Y16" s="22">
        <v>7499000</v>
      </c>
      <c r="Z16" s="22">
        <v>6622000</v>
      </c>
      <c r="AA16" s="22">
        <v>6357000</v>
      </c>
      <c r="AB16" s="23">
        <f t="shared" si="1"/>
        <v>27187000</v>
      </c>
      <c r="AC16" s="22">
        <v>6894000</v>
      </c>
      <c r="AD16" s="22">
        <v>7067024.7700000005</v>
      </c>
      <c r="AE16" s="22">
        <v>6001000</v>
      </c>
    </row>
    <row r="17" spans="1:32" x14ac:dyDescent="0.25">
      <c r="A17" s="8"/>
      <c r="B17" s="15"/>
      <c r="C17" s="40"/>
      <c r="D17" s="40"/>
      <c r="E17" s="40"/>
      <c r="F17" s="40"/>
      <c r="G17" s="40"/>
      <c r="H17" s="23"/>
      <c r="I17" s="40"/>
      <c r="J17" s="40"/>
      <c r="K17" s="40"/>
      <c r="L17" s="40"/>
      <c r="M17" s="23"/>
      <c r="N17" s="40"/>
      <c r="O17" s="40"/>
      <c r="P17" s="40"/>
      <c r="Q17" s="40"/>
      <c r="R17" s="23"/>
      <c r="S17" s="40"/>
      <c r="T17" s="40"/>
      <c r="U17" s="40"/>
      <c r="V17" s="40"/>
      <c r="W17" s="23"/>
      <c r="X17" s="40"/>
      <c r="Y17" s="40"/>
      <c r="Z17" s="40"/>
      <c r="AA17" s="40"/>
      <c r="AB17" s="23"/>
      <c r="AC17" s="40"/>
      <c r="AD17" s="40"/>
      <c r="AE17" s="40"/>
    </row>
    <row r="18" spans="1:32" ht="15.75" thickBot="1" x14ac:dyDescent="0.3">
      <c r="A18" s="8"/>
      <c r="B18" s="26" t="s">
        <v>20</v>
      </c>
      <c r="C18" s="27"/>
      <c r="D18" s="41">
        <v>741986000</v>
      </c>
      <c r="E18" s="41">
        <v>677635000</v>
      </c>
      <c r="F18" s="41">
        <v>643965000</v>
      </c>
      <c r="G18" s="41">
        <v>638954000</v>
      </c>
      <c r="H18" s="42">
        <v>2702540000</v>
      </c>
      <c r="I18" s="41">
        <v>698043000</v>
      </c>
      <c r="J18" s="41">
        <v>655730000</v>
      </c>
      <c r="K18" s="41">
        <v>644942000</v>
      </c>
      <c r="L18" s="41">
        <v>661750000</v>
      </c>
      <c r="M18" s="42">
        <v>2660465000</v>
      </c>
      <c r="N18" s="41">
        <v>696694000</v>
      </c>
      <c r="O18" s="41">
        <v>655925000</v>
      </c>
      <c r="P18" s="41">
        <v>649371000</v>
      </c>
      <c r="Q18" s="41">
        <v>667862000</v>
      </c>
      <c r="R18" s="42">
        <v>2669852000</v>
      </c>
      <c r="S18" s="41">
        <v>701939000</v>
      </c>
      <c r="T18" s="41">
        <v>683746000</v>
      </c>
      <c r="U18" s="41">
        <v>712015000</v>
      </c>
      <c r="V18" s="41">
        <v>716491000</v>
      </c>
      <c r="W18" s="42">
        <v>2814191000</v>
      </c>
      <c r="X18" s="41">
        <v>1036782000</v>
      </c>
      <c r="Y18" s="41">
        <v>1193975000</v>
      </c>
      <c r="Z18" s="41">
        <v>1181268000</v>
      </c>
      <c r="AA18" s="41">
        <f>SUM(AA11:AA16)</f>
        <v>1171426000</v>
      </c>
      <c r="AB18" s="42">
        <f t="shared" si="1"/>
        <v>4583451000</v>
      </c>
      <c r="AC18" s="41">
        <f>+AC16+AC15+AC11</f>
        <v>1159722000</v>
      </c>
      <c r="AD18" s="41">
        <f>+AD16+AD15+AD11</f>
        <v>1071254572.5599999</v>
      </c>
      <c r="AE18" s="41">
        <v>1023957000</v>
      </c>
    </row>
    <row r="19" spans="1:32" x14ac:dyDescent="0.25">
      <c r="A19" s="8"/>
      <c r="B19" s="15" t="s">
        <v>21</v>
      </c>
      <c r="C19" s="8"/>
      <c r="D19" s="43">
        <v>-0.1120873282179663</v>
      </c>
      <c r="E19" s="43">
        <v>-9.6027448610560784E-2</v>
      </c>
      <c r="F19" s="43">
        <v>-7.1932057122515936E-2</v>
      </c>
      <c r="G19" s="43">
        <v>-6.5998737034135169E-2</v>
      </c>
      <c r="H19" s="44">
        <v>-8.7981717383469271E-2</v>
      </c>
      <c r="I19" s="43">
        <v>-5.9223489391983186E-2</v>
      </c>
      <c r="J19" s="43">
        <v>-3.2325662045201375E-2</v>
      </c>
      <c r="K19" s="43">
        <v>1.5171631998633466E-3</v>
      </c>
      <c r="L19" s="43">
        <v>3.5673817915474616E-2</v>
      </c>
      <c r="M19" s="44">
        <v>-1.5569415757460939E-2</v>
      </c>
      <c r="N19" s="43">
        <v>-1.9325457027718923E-3</v>
      </c>
      <c r="O19" s="43">
        <v>2.9737849419730683E-4</v>
      </c>
      <c r="P19" s="43">
        <v>6.8672841898961461E-3</v>
      </c>
      <c r="Q19" s="43">
        <v>9.2361163581412917E-3</v>
      </c>
      <c r="R19" s="44">
        <v>3.5283305737906718E-3</v>
      </c>
      <c r="S19" s="43">
        <v>8.0000000000000002E-3</v>
      </c>
      <c r="T19" s="43">
        <v>4.2000000000000003E-2</v>
      </c>
      <c r="U19" s="43">
        <v>9.6467196718054857E-2</v>
      </c>
      <c r="V19" s="43">
        <v>7.2812946387127875E-2</v>
      </c>
      <c r="W19" s="44">
        <v>5.406254728726536E-2</v>
      </c>
      <c r="X19" s="43">
        <v>0.47702578144254698</v>
      </c>
      <c r="Y19" s="43">
        <v>0.74622593770201218</v>
      </c>
      <c r="Z19" s="43">
        <v>0.65900000000000003</v>
      </c>
      <c r="AA19" s="43">
        <v>0.63495005519957681</v>
      </c>
      <c r="AB19" s="44">
        <v>0.629</v>
      </c>
      <c r="AC19" s="43">
        <v>0.11857844754249205</v>
      </c>
      <c r="AD19" s="43">
        <v>-0.1027830795787182</v>
      </c>
      <c r="AE19" s="43">
        <v>-0.13317130405631913</v>
      </c>
    </row>
    <row r="20" spans="1:32" ht="6" customHeight="1" x14ac:dyDescent="0.25">
      <c r="A20" s="8"/>
      <c r="B20" s="15"/>
      <c r="C20" s="40"/>
      <c r="D20" s="45"/>
      <c r="E20" s="45"/>
      <c r="F20" s="45"/>
      <c r="G20" s="45"/>
      <c r="H20" s="38"/>
      <c r="I20" s="45"/>
      <c r="J20" s="45"/>
      <c r="K20" s="45"/>
      <c r="L20" s="45"/>
      <c r="M20" s="38"/>
      <c r="N20" s="45"/>
      <c r="O20" s="45"/>
      <c r="P20" s="45"/>
      <c r="Q20" s="45"/>
      <c r="R20" s="38"/>
      <c r="S20" s="45"/>
      <c r="T20" s="45"/>
      <c r="U20" s="45"/>
      <c r="V20" s="45"/>
      <c r="W20" s="38"/>
      <c r="X20" s="45"/>
      <c r="Y20" s="45"/>
      <c r="Z20" s="45"/>
      <c r="AA20" s="45"/>
      <c r="AB20" s="38"/>
      <c r="AC20" s="45"/>
      <c r="AD20" s="45"/>
      <c r="AE20" s="45"/>
    </row>
    <row r="21" spans="1:32" x14ac:dyDescent="0.25">
      <c r="A21" s="8"/>
      <c r="B21" s="15" t="s">
        <v>22</v>
      </c>
      <c r="C21" s="40"/>
      <c r="D21" s="40"/>
      <c r="E21" s="40"/>
      <c r="F21" s="40"/>
      <c r="G21" s="40"/>
      <c r="H21" s="46"/>
      <c r="I21" s="40"/>
      <c r="J21" s="40"/>
      <c r="K21" s="40"/>
      <c r="L21" s="40"/>
      <c r="M21" s="46"/>
      <c r="N21" s="40"/>
      <c r="O21" s="40"/>
      <c r="P21" s="40"/>
      <c r="Q21" s="40"/>
      <c r="R21" s="46"/>
      <c r="S21" s="40"/>
      <c r="T21" s="40"/>
      <c r="U21" s="40"/>
      <c r="V21" s="40"/>
      <c r="W21" s="46"/>
      <c r="X21" s="40"/>
      <c r="Y21" s="40"/>
      <c r="Z21" s="40"/>
      <c r="AA21" s="40"/>
      <c r="AB21" s="46"/>
      <c r="AC21" s="40"/>
      <c r="AD21" s="40"/>
      <c r="AE21" s="40"/>
    </row>
    <row r="22" spans="1:32" x14ac:dyDescent="0.25">
      <c r="A22" s="8"/>
      <c r="B22" s="20" t="s">
        <v>23</v>
      </c>
      <c r="C22" s="24"/>
      <c r="D22" s="22">
        <v>162033000</v>
      </c>
      <c r="E22" s="22">
        <v>159276000</v>
      </c>
      <c r="F22" s="22">
        <v>153202000</v>
      </c>
      <c r="G22" s="22">
        <v>150847000</v>
      </c>
      <c r="H22" s="47">
        <v>625358000</v>
      </c>
      <c r="I22" s="22">
        <v>156095000</v>
      </c>
      <c r="J22" s="22">
        <v>156041000</v>
      </c>
      <c r="K22" s="22">
        <v>153716000</v>
      </c>
      <c r="L22" s="22">
        <v>156008000</v>
      </c>
      <c r="M22" s="47">
        <v>621860000</v>
      </c>
      <c r="N22" s="22">
        <v>155372000</v>
      </c>
      <c r="O22" s="22">
        <v>155658000</v>
      </c>
      <c r="P22" s="22">
        <v>161971000</v>
      </c>
      <c r="Q22" s="22">
        <v>161877000</v>
      </c>
      <c r="R22" s="47">
        <v>634878000</v>
      </c>
      <c r="S22" s="22">
        <v>165455000</v>
      </c>
      <c r="T22" s="22">
        <v>157124000</v>
      </c>
      <c r="U22" s="22">
        <v>167027000</v>
      </c>
      <c r="V22" s="22">
        <v>166006000</v>
      </c>
      <c r="W22" s="47">
        <v>655612000</v>
      </c>
      <c r="X22" s="22">
        <v>247035000</v>
      </c>
      <c r="Y22" s="22">
        <v>331747000</v>
      </c>
      <c r="Z22" s="22">
        <v>343735000</v>
      </c>
      <c r="AA22" s="22">
        <v>352182000</v>
      </c>
      <c r="AB22" s="47">
        <f t="shared" ref="AB22:AB24" si="2">SUM(X22:AA22)</f>
        <v>1274699000</v>
      </c>
      <c r="AC22" s="22">
        <v>341486000</v>
      </c>
      <c r="AD22" s="22">
        <v>319942583.24211919</v>
      </c>
      <c r="AE22" s="22">
        <v>310079000</v>
      </c>
    </row>
    <row r="23" spans="1:32" x14ac:dyDescent="0.25">
      <c r="A23" s="8"/>
      <c r="B23" s="20" t="s">
        <v>24</v>
      </c>
      <c r="C23" s="24"/>
      <c r="D23" s="22">
        <v>109124000</v>
      </c>
      <c r="E23" s="22">
        <v>77055000</v>
      </c>
      <c r="F23" s="22">
        <v>70551000</v>
      </c>
      <c r="G23" s="22">
        <v>65898000</v>
      </c>
      <c r="H23" s="47">
        <v>322628000</v>
      </c>
      <c r="I23" s="22">
        <v>96353000</v>
      </c>
      <c r="J23" s="22">
        <v>65562000</v>
      </c>
      <c r="K23" s="22">
        <v>74340000</v>
      </c>
      <c r="L23" s="22">
        <v>72657000</v>
      </c>
      <c r="M23" s="47">
        <v>308912000</v>
      </c>
      <c r="N23" s="22">
        <v>103391000</v>
      </c>
      <c r="O23" s="22">
        <v>76034000</v>
      </c>
      <c r="P23" s="22">
        <v>70575000</v>
      </c>
      <c r="Q23" s="22">
        <v>69006000</v>
      </c>
      <c r="R23" s="47">
        <v>319006000</v>
      </c>
      <c r="S23" s="22">
        <v>98757000</v>
      </c>
      <c r="T23" s="22">
        <v>102960000</v>
      </c>
      <c r="U23" s="22">
        <v>95177000</v>
      </c>
      <c r="V23" s="22">
        <v>85288000</v>
      </c>
      <c r="W23" s="47">
        <v>382182000</v>
      </c>
      <c r="X23" s="22">
        <v>240106000</v>
      </c>
      <c r="Y23" s="22">
        <v>249853000</v>
      </c>
      <c r="Z23" s="22">
        <v>228024000</v>
      </c>
      <c r="AA23" s="22">
        <v>217782000</v>
      </c>
      <c r="AB23" s="47">
        <f t="shared" si="2"/>
        <v>935765000</v>
      </c>
      <c r="AC23" s="22">
        <v>250331000</v>
      </c>
      <c r="AD23" s="22">
        <v>185734704.02413535</v>
      </c>
      <c r="AE23" s="22">
        <v>179477000</v>
      </c>
    </row>
    <row r="24" spans="1:32" x14ac:dyDescent="0.25">
      <c r="A24" s="8"/>
      <c r="B24" s="20" t="s">
        <v>25</v>
      </c>
      <c r="C24" s="39"/>
      <c r="D24" s="22">
        <v>5184000</v>
      </c>
      <c r="E24" s="22">
        <v>5708000</v>
      </c>
      <c r="F24" s="22">
        <v>5207000</v>
      </c>
      <c r="G24" s="22">
        <v>7523000</v>
      </c>
      <c r="H24" s="47">
        <v>23622000</v>
      </c>
      <c r="I24" s="22">
        <v>5242000</v>
      </c>
      <c r="J24" s="22">
        <v>5617000</v>
      </c>
      <c r="K24" s="22">
        <v>5244000</v>
      </c>
      <c r="L24" s="22">
        <v>7223000</v>
      </c>
      <c r="M24" s="47">
        <v>23326000</v>
      </c>
      <c r="N24" s="22">
        <v>4924000</v>
      </c>
      <c r="O24" s="22">
        <v>5682000</v>
      </c>
      <c r="P24" s="22">
        <v>5527000</v>
      </c>
      <c r="Q24" s="22">
        <v>7250000</v>
      </c>
      <c r="R24" s="47">
        <v>23383000</v>
      </c>
      <c r="S24" s="22">
        <v>5025000</v>
      </c>
      <c r="T24" s="22">
        <v>6092000</v>
      </c>
      <c r="U24" s="22">
        <v>5713000</v>
      </c>
      <c r="V24" s="22">
        <v>7281000</v>
      </c>
      <c r="W24" s="47">
        <v>24111000</v>
      </c>
      <c r="X24" s="22">
        <v>6041000</v>
      </c>
      <c r="Y24" s="22">
        <v>6234000</v>
      </c>
      <c r="Z24" s="22">
        <v>6291000</v>
      </c>
      <c r="AA24" s="22">
        <v>7071000</v>
      </c>
      <c r="AB24" s="47">
        <f t="shared" si="2"/>
        <v>25637000</v>
      </c>
      <c r="AC24" s="22">
        <v>5921000</v>
      </c>
      <c r="AD24" s="22">
        <v>6426446.7299999995</v>
      </c>
      <c r="AE24" s="22">
        <v>6032000</v>
      </c>
    </row>
    <row r="25" spans="1:32" x14ac:dyDescent="0.25">
      <c r="A25" s="8"/>
      <c r="B25" s="20" t="s">
        <v>26</v>
      </c>
      <c r="C25" s="39"/>
      <c r="D25" s="22">
        <v>2982000</v>
      </c>
      <c r="E25" s="22">
        <v>3063000</v>
      </c>
      <c r="F25" s="22">
        <v>2540000</v>
      </c>
      <c r="G25" s="22">
        <v>3805000</v>
      </c>
      <c r="H25" s="47">
        <v>12390000</v>
      </c>
      <c r="I25" s="22">
        <v>3375000</v>
      </c>
      <c r="J25" s="22">
        <v>4624000</v>
      </c>
      <c r="K25" s="22">
        <v>3902000</v>
      </c>
      <c r="L25" s="22">
        <v>6298000</v>
      </c>
      <c r="M25" s="47">
        <v>18199000</v>
      </c>
      <c r="N25" s="22">
        <v>8141000</v>
      </c>
      <c r="O25" s="22">
        <v>10480000</v>
      </c>
      <c r="P25" s="22">
        <v>11302000</v>
      </c>
      <c r="Q25" s="22">
        <v>18591000</v>
      </c>
      <c r="R25" s="47">
        <v>48514000</v>
      </c>
      <c r="S25" s="22">
        <v>12524000</v>
      </c>
      <c r="T25" s="22">
        <v>18038000</v>
      </c>
      <c r="U25" s="22">
        <v>19070000</v>
      </c>
      <c r="V25" s="22">
        <v>30502000</v>
      </c>
      <c r="W25" s="47">
        <v>80134000</v>
      </c>
      <c r="X25" s="22">
        <v>33077000</v>
      </c>
      <c r="Y25" s="22">
        <v>29543000</v>
      </c>
      <c r="Z25" s="22">
        <v>33570000</v>
      </c>
      <c r="AA25" s="22">
        <v>30413000</v>
      </c>
      <c r="AB25" s="47">
        <f>SUM(X25:AA25)</f>
        <v>126603000</v>
      </c>
      <c r="AC25" s="22">
        <v>18742000</v>
      </c>
      <c r="AD25" s="22">
        <v>26606965.960000001</v>
      </c>
      <c r="AE25" s="22">
        <v>22834000</v>
      </c>
    </row>
    <row r="26" spans="1:32" ht="15.75" thickBot="1" x14ac:dyDescent="0.3">
      <c r="A26" s="8"/>
      <c r="B26" s="48" t="s">
        <v>27</v>
      </c>
      <c r="C26" s="49"/>
      <c r="D26" s="50">
        <v>462663000</v>
      </c>
      <c r="E26" s="50">
        <v>432533000</v>
      </c>
      <c r="F26" s="50">
        <v>412465000</v>
      </c>
      <c r="G26" s="50">
        <v>410881000</v>
      </c>
      <c r="H26" s="51">
        <v>1718542000</v>
      </c>
      <c r="I26" s="50">
        <v>436978000</v>
      </c>
      <c r="J26" s="50">
        <v>423886000</v>
      </c>
      <c r="K26" s="50">
        <v>407740000</v>
      </c>
      <c r="L26" s="50">
        <v>419564000</v>
      </c>
      <c r="M26" s="51">
        <v>1688168000</v>
      </c>
      <c r="N26" s="50">
        <v>424866000</v>
      </c>
      <c r="O26" s="50">
        <v>408071000</v>
      </c>
      <c r="P26" s="50">
        <v>399996000</v>
      </c>
      <c r="Q26" s="50">
        <v>411138000</v>
      </c>
      <c r="R26" s="51">
        <v>1644071000</v>
      </c>
      <c r="S26" s="50">
        <v>420178000</v>
      </c>
      <c r="T26" s="50">
        <v>399532000</v>
      </c>
      <c r="U26" s="50">
        <v>425028000</v>
      </c>
      <c r="V26" s="50">
        <v>427414000</v>
      </c>
      <c r="W26" s="51">
        <v>1672152000</v>
      </c>
      <c r="X26" s="50">
        <v>510523000</v>
      </c>
      <c r="Y26" s="50">
        <v>576598000</v>
      </c>
      <c r="Z26" s="50">
        <v>569648000</v>
      </c>
      <c r="AA26" s="50">
        <f>AA18-SUM(AA22:AA25)</f>
        <v>563978000</v>
      </c>
      <c r="AB26" s="51">
        <f>AB18-SUM(AB22:AB25)</f>
        <v>2220747000</v>
      </c>
      <c r="AC26" s="50">
        <f>AC18-SUM(AC22:AC25)</f>
        <v>543242000</v>
      </c>
      <c r="AD26" s="50">
        <f>AD18-SUM(AD22:AD25)</f>
        <v>532543872.60374534</v>
      </c>
      <c r="AE26" s="50">
        <v>505535000</v>
      </c>
    </row>
    <row r="27" spans="1:32" x14ac:dyDescent="0.25">
      <c r="A27" s="52"/>
      <c r="B27" s="53" t="s">
        <v>28</v>
      </c>
      <c r="C27" s="54"/>
      <c r="D27" s="55">
        <v>0.62354680546533225</v>
      </c>
      <c r="E27" s="55">
        <v>0.6382979037387384</v>
      </c>
      <c r="F27" s="55">
        <v>0.64050841272429404</v>
      </c>
      <c r="G27" s="55">
        <v>0.64305255151388052</v>
      </c>
      <c r="H27" s="56">
        <v>0.63589882110903073</v>
      </c>
      <c r="I27" s="55">
        <v>0.62600441520078276</v>
      </c>
      <c r="J27" s="55">
        <v>0.64643374559651079</v>
      </c>
      <c r="K27" s="55">
        <v>0.63221188882101031</v>
      </c>
      <c r="L27" s="55">
        <v>0.63402191159803556</v>
      </c>
      <c r="M27" s="56">
        <v>0.63453869906200611</v>
      </c>
      <c r="N27" s="55">
        <v>0.6098315759860139</v>
      </c>
      <c r="O27" s="55">
        <v>0.62213057895338642</v>
      </c>
      <c r="P27" s="55">
        <v>0.61599999999999999</v>
      </c>
      <c r="Q27" s="55">
        <v>0.61560322342040719</v>
      </c>
      <c r="R27" s="56">
        <v>0.61579106257575322</v>
      </c>
      <c r="S27" s="55">
        <v>0.59899999999999998</v>
      </c>
      <c r="T27" s="55">
        <v>0.58399999999999996</v>
      </c>
      <c r="U27" s="55">
        <v>0.59693629619642308</v>
      </c>
      <c r="V27" s="55">
        <v>0.59653784904485885</v>
      </c>
      <c r="W27" s="56">
        <v>0.59418568249276615</v>
      </c>
      <c r="X27" s="55">
        <v>0.49241113368094741</v>
      </c>
      <c r="Y27" s="55">
        <v>0.48292384681421302</v>
      </c>
      <c r="Z27" s="55">
        <v>0.48199999999999998</v>
      </c>
      <c r="AA27" s="55">
        <v>0.48099999999999998</v>
      </c>
      <c r="AB27" s="56">
        <v>0.48499999999999999</v>
      </c>
      <c r="AC27" s="55">
        <f>+AC26/AC18</f>
        <v>0.46842432927891342</v>
      </c>
      <c r="AD27" s="55">
        <f>+AD26/AD18</f>
        <v>0.49712167979933458</v>
      </c>
      <c r="AE27" s="55">
        <f>+AE26/AE18</f>
        <v>0.49370725528513404</v>
      </c>
      <c r="AF27" s="124"/>
    </row>
    <row r="28" spans="1:32" x14ac:dyDescent="0.25">
      <c r="A28" s="8"/>
      <c r="B28" s="48" t="s">
        <v>29</v>
      </c>
      <c r="C28" s="49"/>
      <c r="D28" s="48"/>
      <c r="E28" s="48"/>
      <c r="F28" s="48"/>
      <c r="G28" s="48"/>
      <c r="H28" s="57"/>
      <c r="I28" s="48"/>
      <c r="J28" s="48"/>
      <c r="K28" s="48"/>
      <c r="L28" s="48"/>
      <c r="M28" s="57"/>
      <c r="N28" s="48"/>
      <c r="O28" s="48"/>
      <c r="P28" s="48"/>
      <c r="Q28" s="48"/>
      <c r="R28" s="57"/>
      <c r="S28" s="48"/>
      <c r="T28" s="48"/>
      <c r="U28" s="48"/>
      <c r="V28" s="48"/>
      <c r="W28" s="57"/>
      <c r="X28" s="48"/>
      <c r="Y28" s="48"/>
      <c r="Z28" s="48"/>
      <c r="AA28" s="48"/>
      <c r="AB28" s="57"/>
      <c r="AC28" s="48"/>
      <c r="AD28" s="48"/>
      <c r="AE28" s="48"/>
    </row>
    <row r="29" spans="1:32" x14ac:dyDescent="0.25">
      <c r="A29" s="8"/>
      <c r="B29" s="20" t="s">
        <v>30</v>
      </c>
      <c r="C29" s="24"/>
      <c r="D29" s="22">
        <v>192107000</v>
      </c>
      <c r="E29" s="22">
        <v>179447000</v>
      </c>
      <c r="F29" s="22">
        <v>179643000</v>
      </c>
      <c r="G29" s="22">
        <v>181269000</v>
      </c>
      <c r="H29" s="47">
        <v>732466000</v>
      </c>
      <c r="I29" s="22">
        <v>181074000</v>
      </c>
      <c r="J29" s="22">
        <v>164172000</v>
      </c>
      <c r="K29" s="22">
        <v>168297000</v>
      </c>
      <c r="L29" s="22">
        <v>169879000</v>
      </c>
      <c r="M29" s="47">
        <v>683422000</v>
      </c>
      <c r="N29" s="22">
        <v>161656000</v>
      </c>
      <c r="O29" s="22">
        <v>152899000</v>
      </c>
      <c r="P29" s="22">
        <v>158666000</v>
      </c>
      <c r="Q29" s="22">
        <v>156875000</v>
      </c>
      <c r="R29" s="47">
        <v>630096000</v>
      </c>
      <c r="S29" s="22">
        <v>153794000</v>
      </c>
      <c r="T29" s="22">
        <v>129929000</v>
      </c>
      <c r="U29" s="22">
        <v>150493000</v>
      </c>
      <c r="V29" s="22">
        <v>144909000</v>
      </c>
      <c r="W29" s="47">
        <v>579125000</v>
      </c>
      <c r="X29" s="22">
        <v>156707000</v>
      </c>
      <c r="Y29" s="22">
        <v>159337000</v>
      </c>
      <c r="Z29" s="22">
        <v>163945000</v>
      </c>
      <c r="AA29" s="22">
        <v>164774000</v>
      </c>
      <c r="AB29" s="47">
        <f t="shared" ref="AB29:AB33" si="3">SUM(X29:AA29)</f>
        <v>644763000</v>
      </c>
      <c r="AC29" s="22">
        <v>166603000</v>
      </c>
      <c r="AD29" s="22">
        <v>163955634.69014177</v>
      </c>
      <c r="AE29" s="22">
        <v>156192000</v>
      </c>
    </row>
    <row r="30" spans="1:32" x14ac:dyDescent="0.25">
      <c r="A30" s="8"/>
      <c r="B30" s="20" t="s">
        <v>31</v>
      </c>
      <c r="C30" s="24"/>
      <c r="D30" s="22">
        <v>197440000</v>
      </c>
      <c r="E30" s="22">
        <v>177050000</v>
      </c>
      <c r="F30" s="22">
        <v>171995000</v>
      </c>
      <c r="G30" s="22">
        <v>197702000</v>
      </c>
      <c r="H30" s="47">
        <v>744187000</v>
      </c>
      <c r="I30" s="22">
        <v>185949000</v>
      </c>
      <c r="J30" s="22">
        <v>156854000</v>
      </c>
      <c r="K30" s="22">
        <v>149326000</v>
      </c>
      <c r="L30" s="22">
        <v>164765000</v>
      </c>
      <c r="M30" s="47">
        <v>656894000</v>
      </c>
      <c r="N30" s="22">
        <v>163794000</v>
      </c>
      <c r="O30" s="22">
        <v>149225000</v>
      </c>
      <c r="P30" s="22">
        <v>150366000</v>
      </c>
      <c r="Q30" s="22">
        <v>153721000</v>
      </c>
      <c r="R30" s="47">
        <v>617106000</v>
      </c>
      <c r="S30" s="22">
        <v>161718000</v>
      </c>
      <c r="T30" s="22">
        <v>160756000</v>
      </c>
      <c r="U30" s="22">
        <v>140818000</v>
      </c>
      <c r="V30" s="22">
        <v>146078000</v>
      </c>
      <c r="W30" s="47">
        <v>609370000</v>
      </c>
      <c r="X30" s="22">
        <v>170133000</v>
      </c>
      <c r="Y30" s="22">
        <v>181012000</v>
      </c>
      <c r="Z30" s="22">
        <v>189553000</v>
      </c>
      <c r="AA30" s="22">
        <v>229375000</v>
      </c>
      <c r="AB30" s="47">
        <f t="shared" si="3"/>
        <v>770073000</v>
      </c>
      <c r="AC30" s="22">
        <v>227369000</v>
      </c>
      <c r="AD30" s="22">
        <v>199091000</v>
      </c>
      <c r="AE30" s="22">
        <v>197847000</v>
      </c>
    </row>
    <row r="31" spans="1:32" x14ac:dyDescent="0.25">
      <c r="A31" s="8"/>
      <c r="B31" s="15" t="s">
        <v>32</v>
      </c>
      <c r="C31" s="24"/>
      <c r="D31" s="22">
        <v>39772000</v>
      </c>
      <c r="E31" s="22">
        <v>47097000</v>
      </c>
      <c r="F31" s="22">
        <v>43768000</v>
      </c>
      <c r="G31" s="22">
        <v>40453000</v>
      </c>
      <c r="H31" s="47">
        <v>171090000</v>
      </c>
      <c r="I31" s="22">
        <v>44870000</v>
      </c>
      <c r="J31" s="22">
        <v>41792000</v>
      </c>
      <c r="K31" s="22">
        <v>40818000</v>
      </c>
      <c r="L31" s="22">
        <v>35965000</v>
      </c>
      <c r="M31" s="47">
        <v>163445000</v>
      </c>
      <c r="N31" s="22">
        <v>32924000</v>
      </c>
      <c r="O31" s="22">
        <v>38534000</v>
      </c>
      <c r="P31" s="22">
        <v>34364000</v>
      </c>
      <c r="Q31" s="22">
        <v>36812000</v>
      </c>
      <c r="R31" s="47">
        <v>142634000</v>
      </c>
      <c r="S31" s="22">
        <v>39175000</v>
      </c>
      <c r="T31" s="22">
        <v>32943000</v>
      </c>
      <c r="U31" s="22">
        <v>41576000</v>
      </c>
      <c r="V31" s="22">
        <v>39414000</v>
      </c>
      <c r="W31" s="47">
        <v>153108000</v>
      </c>
      <c r="X31" s="22">
        <v>49125000</v>
      </c>
      <c r="Y31" s="22">
        <v>54385000</v>
      </c>
      <c r="Z31" s="22">
        <v>45958000</v>
      </c>
      <c r="AA31" s="22">
        <v>45426000</v>
      </c>
      <c r="AB31" s="47">
        <f t="shared" si="3"/>
        <v>194894000</v>
      </c>
      <c r="AC31" s="22">
        <v>56403000</v>
      </c>
      <c r="AD31" s="22">
        <v>44868000</v>
      </c>
      <c r="AE31" s="22">
        <v>40002000</v>
      </c>
    </row>
    <row r="32" spans="1:32" ht="15.6" customHeight="1" x14ac:dyDescent="0.25">
      <c r="A32" s="8"/>
      <c r="B32" s="15" t="s">
        <v>33</v>
      </c>
      <c r="C32" s="59"/>
      <c r="D32" s="60">
        <v>18541000</v>
      </c>
      <c r="E32" s="60">
        <v>18708000</v>
      </c>
      <c r="F32" s="60">
        <v>18679000</v>
      </c>
      <c r="G32" s="60">
        <v>18711000</v>
      </c>
      <c r="H32" s="47">
        <v>74639000</v>
      </c>
      <c r="I32" s="60">
        <v>17900000</v>
      </c>
      <c r="J32" s="60">
        <v>17428000</v>
      </c>
      <c r="K32" s="60">
        <v>16946000</v>
      </c>
      <c r="L32" s="60">
        <v>16672000</v>
      </c>
      <c r="M32" s="47">
        <v>68946000</v>
      </c>
      <c r="N32" s="60">
        <v>15773000</v>
      </c>
      <c r="O32" s="60">
        <v>15121000</v>
      </c>
      <c r="P32" s="60">
        <v>14894000</v>
      </c>
      <c r="Q32" s="60">
        <v>15316000</v>
      </c>
      <c r="R32" s="47">
        <v>61104000</v>
      </c>
      <c r="S32" s="60">
        <v>14913000</v>
      </c>
      <c r="T32" s="60">
        <v>14348000</v>
      </c>
      <c r="U32" s="60">
        <v>13810000</v>
      </c>
      <c r="V32" s="60">
        <v>13587000</v>
      </c>
      <c r="W32" s="47">
        <v>56658000</v>
      </c>
      <c r="X32" s="60">
        <v>13393000</v>
      </c>
      <c r="Y32" s="60">
        <v>13566000</v>
      </c>
      <c r="Z32" s="60">
        <v>13835000</v>
      </c>
      <c r="AA32" s="60">
        <v>14036000</v>
      </c>
      <c r="AB32" s="47">
        <f t="shared" si="3"/>
        <v>54830000</v>
      </c>
      <c r="AC32" s="60">
        <v>14529000</v>
      </c>
      <c r="AD32" s="60">
        <v>12880304.242876522</v>
      </c>
      <c r="AE32" s="60">
        <v>12798000</v>
      </c>
    </row>
    <row r="33" spans="1:33" ht="15.75" thickBot="1" x14ac:dyDescent="0.3">
      <c r="A33" s="8"/>
      <c r="B33" s="15" t="s">
        <v>34</v>
      </c>
      <c r="C33" s="61"/>
      <c r="D33" s="50">
        <v>447860000</v>
      </c>
      <c r="E33" s="50">
        <v>422302000</v>
      </c>
      <c r="F33" s="50">
        <v>414085000</v>
      </c>
      <c r="G33" s="50">
        <v>438135000</v>
      </c>
      <c r="H33" s="51">
        <v>1722382000</v>
      </c>
      <c r="I33" s="50">
        <v>429793000</v>
      </c>
      <c r="J33" s="50">
        <v>380246000</v>
      </c>
      <c r="K33" s="50">
        <v>375387000</v>
      </c>
      <c r="L33" s="50">
        <v>387281000</v>
      </c>
      <c r="M33" s="51">
        <v>1572707000</v>
      </c>
      <c r="N33" s="50">
        <v>374147000</v>
      </c>
      <c r="O33" s="50">
        <v>355779000</v>
      </c>
      <c r="P33" s="50">
        <v>358290000</v>
      </c>
      <c r="Q33" s="50">
        <v>362724000</v>
      </c>
      <c r="R33" s="51">
        <v>1450940000</v>
      </c>
      <c r="S33" s="50">
        <v>369600000</v>
      </c>
      <c r="T33" s="50">
        <v>337976000</v>
      </c>
      <c r="U33" s="50">
        <v>346697000</v>
      </c>
      <c r="V33" s="50">
        <v>343988000</v>
      </c>
      <c r="W33" s="51">
        <v>1398261000</v>
      </c>
      <c r="X33" s="50">
        <f>X29+X30+X31+X32</f>
        <v>389358000</v>
      </c>
      <c r="Y33" s="50">
        <v>408300000</v>
      </c>
      <c r="Z33" s="50">
        <v>413291000</v>
      </c>
      <c r="AA33" s="50">
        <f>SUM(AA29:AA32)</f>
        <v>453611000</v>
      </c>
      <c r="AB33" s="51">
        <f t="shared" si="3"/>
        <v>1664560000</v>
      </c>
      <c r="AC33" s="50">
        <f>AC29+AC30+AC31+AC32</f>
        <v>464904000</v>
      </c>
      <c r="AD33" s="50">
        <f>AD29+AD30+AD31+AD32</f>
        <v>420794938.93301833</v>
      </c>
      <c r="AE33" s="50">
        <v>406839000</v>
      </c>
    </row>
    <row r="34" spans="1:33" x14ac:dyDescent="0.25">
      <c r="A34" s="8"/>
      <c r="B34" s="15"/>
      <c r="C34" s="40"/>
      <c r="D34" s="40"/>
      <c r="E34" s="40"/>
      <c r="F34" s="40"/>
      <c r="G34" s="40"/>
      <c r="H34" s="47"/>
      <c r="I34" s="40"/>
      <c r="J34" s="40"/>
      <c r="K34" s="40"/>
      <c r="L34" s="40"/>
      <c r="M34" s="47"/>
      <c r="N34" s="40"/>
      <c r="O34" s="40"/>
      <c r="P34" s="40"/>
      <c r="Q34" s="40"/>
      <c r="R34" s="47"/>
      <c r="S34" s="40"/>
      <c r="T34" s="40"/>
      <c r="U34" s="40"/>
      <c r="V34" s="40"/>
      <c r="W34" s="47"/>
      <c r="X34" s="40"/>
      <c r="Y34" s="40"/>
      <c r="Z34" s="40"/>
      <c r="AA34" s="40"/>
      <c r="AB34" s="47"/>
      <c r="AC34" s="40"/>
      <c r="AD34" s="40"/>
      <c r="AE34" s="40"/>
    </row>
    <row r="35" spans="1:33" ht="16.5" thickBot="1" x14ac:dyDescent="0.3">
      <c r="A35" s="8"/>
      <c r="B35" s="15" t="s">
        <v>35</v>
      </c>
      <c r="C35" s="61"/>
      <c r="D35" s="62">
        <v>14803000</v>
      </c>
      <c r="E35" s="62">
        <v>10231000</v>
      </c>
      <c r="F35" s="62">
        <v>-1620000</v>
      </c>
      <c r="G35" s="62">
        <v>-27254000</v>
      </c>
      <c r="H35" s="42">
        <v>-3840000</v>
      </c>
      <c r="I35" s="62">
        <v>7185000</v>
      </c>
      <c r="J35" s="62">
        <v>43640000</v>
      </c>
      <c r="K35" s="62">
        <v>32353000</v>
      </c>
      <c r="L35" s="62">
        <v>32283000</v>
      </c>
      <c r="M35" s="42">
        <v>115461000</v>
      </c>
      <c r="N35" s="62">
        <v>50719000</v>
      </c>
      <c r="O35" s="62">
        <v>52292000</v>
      </c>
      <c r="P35" s="62">
        <v>41706000</v>
      </c>
      <c r="Q35" s="62">
        <v>48414000</v>
      </c>
      <c r="R35" s="42">
        <v>193131000</v>
      </c>
      <c r="S35" s="62">
        <v>50578000</v>
      </c>
      <c r="T35" s="62">
        <v>61556000</v>
      </c>
      <c r="U35" s="62">
        <v>78330000</v>
      </c>
      <c r="V35" s="62">
        <v>83427000</v>
      </c>
      <c r="W35" s="42">
        <v>273891000</v>
      </c>
      <c r="X35" s="62">
        <f>X26-X33</f>
        <v>121165000</v>
      </c>
      <c r="Y35" s="62">
        <v>168298000</v>
      </c>
      <c r="Z35" s="62">
        <v>156357000</v>
      </c>
      <c r="AA35" s="62">
        <f>AA26-AA33</f>
        <v>110367000</v>
      </c>
      <c r="AB35" s="42">
        <f>AB26-AB33</f>
        <v>556187000</v>
      </c>
      <c r="AC35" s="62">
        <f>AC26-AC33</f>
        <v>78338000</v>
      </c>
      <c r="AD35" s="62">
        <v>111749000</v>
      </c>
      <c r="AE35" s="62">
        <v>98696000</v>
      </c>
    </row>
    <row r="36" spans="1:33" x14ac:dyDescent="0.25">
      <c r="A36" s="52"/>
      <c r="B36" s="63" t="s">
        <v>28</v>
      </c>
      <c r="C36" s="54"/>
      <c r="D36" s="64">
        <v>1.9950511195629027E-2</v>
      </c>
      <c r="E36" s="64">
        <v>1.5098098533871479E-2</v>
      </c>
      <c r="F36" s="64">
        <v>-2.5156646712166035E-3</v>
      </c>
      <c r="G36" s="64">
        <v>-4.2654087774706785E-2</v>
      </c>
      <c r="H36" s="65">
        <v>-1.4208855373093461E-3</v>
      </c>
      <c r="I36" s="64">
        <v>1.0293062175252814E-2</v>
      </c>
      <c r="J36" s="64">
        <v>6.6551781983438307E-2</v>
      </c>
      <c r="K36" s="64">
        <v>5.016420081185595E-2</v>
      </c>
      <c r="L36" s="64">
        <v>4.8784284095202114E-2</v>
      </c>
      <c r="M36" s="65">
        <v>4.3398784423023765E-2</v>
      </c>
      <c r="N36" s="64">
        <v>7.279953609475609E-2</v>
      </c>
      <c r="O36" s="64">
        <v>7.9722529252582233E-2</v>
      </c>
      <c r="P36" s="64">
        <v>6.4000000000000001E-2</v>
      </c>
      <c r="Q36" s="64">
        <v>7.2491023594694712E-2</v>
      </c>
      <c r="R36" s="65">
        <v>7.2337717596331189E-2</v>
      </c>
      <c r="S36" s="64">
        <v>7.1999999999999995E-2</v>
      </c>
      <c r="T36" s="64">
        <v>0.09</v>
      </c>
      <c r="U36" s="64">
        <v>0.11001188178884123</v>
      </c>
      <c r="V36" s="64">
        <v>0.1164383083667485</v>
      </c>
      <c r="W36" s="65">
        <v>9.7324950580824118E-2</v>
      </c>
      <c r="X36" s="64">
        <f>X35/X18</f>
        <v>0.11686641936299048</v>
      </c>
      <c r="Y36" s="64">
        <v>0.14095688770702905</v>
      </c>
      <c r="Z36" s="64">
        <v>0.13200000000000001</v>
      </c>
      <c r="AA36" s="64">
        <v>9.4E-2</v>
      </c>
      <c r="AB36" s="65">
        <v>0.121</v>
      </c>
      <c r="AC36" s="64">
        <v>6.7548947075247348E-2</v>
      </c>
      <c r="AD36" s="64">
        <v>0.10431600747612309</v>
      </c>
      <c r="AE36" s="64">
        <v>9.6386859995097454E-2</v>
      </c>
    </row>
    <row r="37" spans="1:33" x14ac:dyDescent="0.25">
      <c r="A37" s="8"/>
      <c r="B37" s="15" t="s">
        <v>36</v>
      </c>
      <c r="C37" s="24"/>
      <c r="D37" s="22">
        <v>-156000</v>
      </c>
      <c r="E37" s="22">
        <v>-159000</v>
      </c>
      <c r="F37" s="22">
        <v>-177000</v>
      </c>
      <c r="G37" s="22">
        <v>-299000</v>
      </c>
      <c r="H37" s="47">
        <v>-791000</v>
      </c>
      <c r="I37" s="22">
        <v>-209000</v>
      </c>
      <c r="J37" s="22">
        <v>-202000</v>
      </c>
      <c r="K37" s="22">
        <v>-345000</v>
      </c>
      <c r="L37" s="22">
        <v>-391000</v>
      </c>
      <c r="M37" s="47">
        <v>-1147000</v>
      </c>
      <c r="N37" s="22">
        <v>-874000</v>
      </c>
      <c r="O37" s="22">
        <v>-1997000</v>
      </c>
      <c r="P37" s="22">
        <v>-85000</v>
      </c>
      <c r="Q37" s="22">
        <v>-167000</v>
      </c>
      <c r="R37" s="47">
        <v>-3123000</v>
      </c>
      <c r="S37" s="22">
        <v>-144000</v>
      </c>
      <c r="T37" s="22">
        <v>-265000</v>
      </c>
      <c r="U37" s="22">
        <v>-152000</v>
      </c>
      <c r="V37" s="22">
        <v>-207000</v>
      </c>
      <c r="W37" s="47">
        <v>-768000</v>
      </c>
      <c r="X37" s="22">
        <v>-74000</v>
      </c>
      <c r="Y37" s="22">
        <v>-44000</v>
      </c>
      <c r="Z37" s="22">
        <v>-30000</v>
      </c>
      <c r="AA37" s="22">
        <v>-73000</v>
      </c>
      <c r="AB37" s="47">
        <f>SUM(X37:AA37)</f>
        <v>-221000</v>
      </c>
      <c r="AC37" s="22">
        <v>-45000</v>
      </c>
      <c r="AD37" s="22">
        <v>-92000</v>
      </c>
      <c r="AE37" s="22">
        <v>-216000</v>
      </c>
    </row>
    <row r="38" spans="1:33" x14ac:dyDescent="0.25">
      <c r="A38" s="19"/>
      <c r="B38" s="26" t="s">
        <v>37</v>
      </c>
      <c r="C38" s="21"/>
      <c r="D38" s="66">
        <v>11630000</v>
      </c>
      <c r="E38" s="66">
        <v>11263000</v>
      </c>
      <c r="F38" s="66">
        <v>11453000</v>
      </c>
      <c r="G38" s="66">
        <v>11650000</v>
      </c>
      <c r="H38" s="67">
        <v>45996000</v>
      </c>
      <c r="I38" s="66">
        <v>11360000</v>
      </c>
      <c r="J38" s="66">
        <v>10806000</v>
      </c>
      <c r="K38" s="66">
        <v>10496000</v>
      </c>
      <c r="L38" s="66">
        <v>10306000</v>
      </c>
      <c r="M38" s="67">
        <v>42968000</v>
      </c>
      <c r="N38" s="66">
        <v>9389000</v>
      </c>
      <c r="O38" s="66">
        <v>10092000</v>
      </c>
      <c r="P38" s="66">
        <v>6733000</v>
      </c>
      <c r="Q38" s="66">
        <v>4817000</v>
      </c>
      <c r="R38" s="67">
        <v>31031000</v>
      </c>
      <c r="S38" s="66">
        <v>4447000</v>
      </c>
      <c r="T38" s="66">
        <v>4161000</v>
      </c>
      <c r="U38" s="66">
        <v>3350000</v>
      </c>
      <c r="V38" s="66">
        <v>3367000</v>
      </c>
      <c r="W38" s="67">
        <v>15325000</v>
      </c>
      <c r="X38" s="66">
        <v>11990000</v>
      </c>
      <c r="Y38" s="66">
        <v>20435000</v>
      </c>
      <c r="Z38" s="66">
        <v>19742000</v>
      </c>
      <c r="AA38" s="66">
        <v>18708000</v>
      </c>
      <c r="AB38" s="67">
        <f>SUM(X38:AA38)-1000</f>
        <v>70874000</v>
      </c>
      <c r="AC38" s="66">
        <v>18970000</v>
      </c>
      <c r="AD38" s="66">
        <v>19089000</v>
      </c>
      <c r="AE38" s="66">
        <v>22960000</v>
      </c>
    </row>
    <row r="39" spans="1:33" x14ac:dyDescent="0.25">
      <c r="A39" s="8"/>
      <c r="B39" s="15"/>
      <c r="C39" s="40"/>
      <c r="D39" s="40"/>
      <c r="E39" s="40"/>
      <c r="F39" s="40"/>
      <c r="G39" s="40"/>
      <c r="H39" s="47"/>
      <c r="I39" s="40"/>
      <c r="J39" s="40"/>
      <c r="K39" s="40"/>
      <c r="L39" s="40"/>
      <c r="M39" s="47"/>
      <c r="N39" s="40"/>
      <c r="O39" s="40"/>
      <c r="P39" s="40"/>
      <c r="Q39" s="40"/>
      <c r="R39" s="47"/>
      <c r="S39" s="40"/>
      <c r="T39" s="40"/>
      <c r="U39" s="40"/>
      <c r="V39" s="40"/>
      <c r="W39" s="47"/>
      <c r="X39" s="40"/>
      <c r="Y39" s="40"/>
      <c r="Z39" s="40"/>
      <c r="AA39" s="40"/>
      <c r="AB39" s="47"/>
      <c r="AC39" s="40"/>
      <c r="AD39" s="40"/>
      <c r="AE39" s="40"/>
    </row>
    <row r="40" spans="1:33" ht="15.75" thickBot="1" x14ac:dyDescent="0.3">
      <c r="A40" s="8"/>
      <c r="B40" s="15" t="s">
        <v>38</v>
      </c>
      <c r="C40" s="61"/>
      <c r="D40" s="68">
        <v>3329000</v>
      </c>
      <c r="E40" s="68">
        <v>-873000</v>
      </c>
      <c r="F40" s="68">
        <v>-12896000</v>
      </c>
      <c r="G40" s="68">
        <v>-38605000</v>
      </c>
      <c r="H40" s="51">
        <v>-49045000</v>
      </c>
      <c r="I40" s="68">
        <v>-3966000</v>
      </c>
      <c r="J40" s="68">
        <v>33036000</v>
      </c>
      <c r="K40" s="68">
        <v>22202000</v>
      </c>
      <c r="L40" s="68">
        <v>22368000</v>
      </c>
      <c r="M40" s="51">
        <v>73640000</v>
      </c>
      <c r="N40" s="68">
        <v>42204000</v>
      </c>
      <c r="O40" s="68">
        <v>44197000</v>
      </c>
      <c r="P40" s="68">
        <v>35058000</v>
      </c>
      <c r="Q40" s="68">
        <v>43764000</v>
      </c>
      <c r="R40" s="51">
        <v>165223247</v>
      </c>
      <c r="S40" s="68">
        <v>46275000</v>
      </c>
      <c r="T40" s="68">
        <v>57660000</v>
      </c>
      <c r="U40" s="68">
        <v>75132000</v>
      </c>
      <c r="V40" s="68">
        <v>80267000</v>
      </c>
      <c r="W40" s="51">
        <v>259334000</v>
      </c>
      <c r="X40" s="68">
        <f>X35-X37-X38</f>
        <v>109249000</v>
      </c>
      <c r="Y40" s="68">
        <v>147907000</v>
      </c>
      <c r="Z40" s="68">
        <v>136645000</v>
      </c>
      <c r="AA40" s="68">
        <f>AA35-AA37-AA38</f>
        <v>91732000</v>
      </c>
      <c r="AB40" s="51">
        <f>AB35-AB37-AB38</f>
        <v>485534000</v>
      </c>
      <c r="AC40" s="68">
        <f>AC35-AC37-AC38</f>
        <v>59413000</v>
      </c>
      <c r="AD40" s="68">
        <f>AD35-AD37-AD38</f>
        <v>92752000</v>
      </c>
      <c r="AE40" s="68">
        <v>75952000</v>
      </c>
    </row>
    <row r="41" spans="1:33" x14ac:dyDescent="0.25">
      <c r="A41" s="19"/>
      <c r="B41" s="26"/>
      <c r="C41" s="40"/>
      <c r="D41" s="19"/>
      <c r="E41" s="19"/>
      <c r="F41" s="19"/>
      <c r="G41" s="19"/>
      <c r="H41" s="18"/>
      <c r="I41" s="19"/>
      <c r="J41" s="19"/>
      <c r="K41" s="19"/>
      <c r="L41" s="19"/>
      <c r="M41" s="18"/>
      <c r="N41" s="19"/>
      <c r="O41" s="19"/>
      <c r="P41" s="19"/>
      <c r="Q41" s="19"/>
      <c r="R41" s="18"/>
      <c r="S41" s="19"/>
      <c r="T41" s="19"/>
      <c r="U41" s="19"/>
      <c r="V41" s="19"/>
      <c r="W41" s="18"/>
      <c r="X41" s="19"/>
      <c r="Y41" s="19"/>
      <c r="Z41" s="19"/>
      <c r="AA41" s="19"/>
      <c r="AB41" s="18"/>
      <c r="AC41" s="19"/>
      <c r="AD41" s="19"/>
      <c r="AE41" s="19"/>
    </row>
    <row r="42" spans="1:33" x14ac:dyDescent="0.25">
      <c r="A42" s="19"/>
      <c r="B42" s="69" t="s">
        <v>39</v>
      </c>
      <c r="C42" s="12"/>
      <c r="D42" s="70">
        <v>0.36</v>
      </c>
      <c r="E42" s="70">
        <v>0.31729667812142037</v>
      </c>
      <c r="F42" s="70">
        <v>0.36849999999999999</v>
      </c>
      <c r="G42" s="70">
        <v>0.4274</v>
      </c>
      <c r="H42" s="71">
        <v>0.41452233662962584</v>
      </c>
      <c r="I42" s="70">
        <v>-4.6100000000000002E-2</v>
      </c>
      <c r="J42" s="70">
        <v>0.22650000000000001</v>
      </c>
      <c r="K42" s="70">
        <v>0.21975806382307903</v>
      </c>
      <c r="L42" s="70">
        <v>0.14597226242846922</v>
      </c>
      <c r="M42" s="71">
        <v>0.21465490868699291</v>
      </c>
      <c r="N42" s="70">
        <v>0.22879070427868228</v>
      </c>
      <c r="O42" s="70">
        <v>0.2414869787542141</v>
      </c>
      <c r="P42" s="70">
        <v>0.25</v>
      </c>
      <c r="Q42" s="70">
        <v>0.25228498309112513</v>
      </c>
      <c r="R42" s="71">
        <v>0.24285940423466443</v>
      </c>
      <c r="S42" s="70">
        <v>0.18435000000000001</v>
      </c>
      <c r="T42" s="70">
        <v>0.23499999999999999</v>
      </c>
      <c r="U42" s="70">
        <v>0.23302161533897672</v>
      </c>
      <c r="V42" s="70">
        <v>0.28444591172402112</v>
      </c>
      <c r="W42" s="71">
        <v>0.24285940423466443</v>
      </c>
      <c r="X42" s="70">
        <v>0.1971</v>
      </c>
      <c r="Y42" s="70">
        <v>0.25242042350650407</v>
      </c>
      <c r="Z42" s="70">
        <v>0.24</v>
      </c>
      <c r="AA42" s="70">
        <v>0.23400000000000001</v>
      </c>
      <c r="AB42" s="71">
        <v>0.23300000000000001</v>
      </c>
      <c r="AC42" s="70">
        <v>0.252</v>
      </c>
      <c r="AD42" s="70">
        <v>0.26</v>
      </c>
      <c r="AE42" s="70">
        <v>0.25970414468553693</v>
      </c>
    </row>
    <row r="43" spans="1:33" x14ac:dyDescent="0.25">
      <c r="A43" s="8"/>
      <c r="B43" s="15" t="s">
        <v>40</v>
      </c>
      <c r="C43" s="24"/>
      <c r="D43" s="22">
        <v>1198440</v>
      </c>
      <c r="E43" s="22">
        <v>-277000</v>
      </c>
      <c r="F43" s="22">
        <v>-4753000</v>
      </c>
      <c r="G43" s="22">
        <v>-16498777</v>
      </c>
      <c r="H43" s="47">
        <v>-20330248</v>
      </c>
      <c r="I43" s="22">
        <v>181608</v>
      </c>
      <c r="J43" s="22">
        <v>7481238.5</v>
      </c>
      <c r="K43" s="22">
        <v>4879068</v>
      </c>
      <c r="L43" s="22">
        <v>3264107</v>
      </c>
      <c r="M43" s="47">
        <v>15806021.5</v>
      </c>
      <c r="N43" s="22">
        <v>9655330</v>
      </c>
      <c r="O43" s="22">
        <v>10673000</v>
      </c>
      <c r="P43" s="22">
        <v>8757000</v>
      </c>
      <c r="Q43" s="22">
        <v>11041000</v>
      </c>
      <c r="R43" s="47">
        <v>40126019.332136802</v>
      </c>
      <c r="S43" s="22">
        <v>8531000</v>
      </c>
      <c r="T43" s="22">
        <v>13534000</v>
      </c>
      <c r="U43" s="22">
        <v>17507380.003647998</v>
      </c>
      <c r="V43" s="22">
        <v>22831619.996352002</v>
      </c>
      <c r="W43" s="47">
        <v>62404000</v>
      </c>
      <c r="X43" s="22">
        <v>21534000</v>
      </c>
      <c r="Y43" s="22">
        <v>37335000</v>
      </c>
      <c r="Z43" s="22">
        <v>32852000</v>
      </c>
      <c r="AA43" s="22">
        <v>21482000</v>
      </c>
      <c r="AB43" s="47">
        <f>SUM(X43:AA43)</f>
        <v>113203000</v>
      </c>
      <c r="AC43" s="22">
        <v>14946000</v>
      </c>
      <c r="AD43" s="22">
        <v>24071000</v>
      </c>
      <c r="AE43" s="120">
        <v>19726000</v>
      </c>
      <c r="AF43" s="126"/>
    </row>
    <row r="44" spans="1:33" ht="16.5" thickBot="1" x14ac:dyDescent="0.3">
      <c r="A44" s="8"/>
      <c r="B44" s="15" t="s">
        <v>41</v>
      </c>
      <c r="C44" s="61"/>
      <c r="D44" s="72">
        <v>2130560</v>
      </c>
      <c r="E44" s="72">
        <v>-596000</v>
      </c>
      <c r="F44" s="72">
        <v>-8143089</v>
      </c>
      <c r="G44" s="72">
        <v>-22106223</v>
      </c>
      <c r="H44" s="51">
        <v>-28714752</v>
      </c>
      <c r="I44" s="72">
        <v>-4147608</v>
      </c>
      <c r="J44" s="72">
        <v>25554761.5</v>
      </c>
      <c r="K44" s="72">
        <v>17322931.467</v>
      </c>
      <c r="L44" s="72">
        <v>19103892.434</v>
      </c>
      <c r="M44" s="51">
        <v>57833977.401000001</v>
      </c>
      <c r="N44" s="72">
        <v>32548670</v>
      </c>
      <c r="O44" s="72">
        <v>33524000</v>
      </c>
      <c r="P44" s="72">
        <v>26301000</v>
      </c>
      <c r="Q44" s="72">
        <v>32723000</v>
      </c>
      <c r="R44" s="51">
        <v>125097227.66786319</v>
      </c>
      <c r="S44" s="72">
        <v>37744000</v>
      </c>
      <c r="T44" s="72">
        <v>44126000</v>
      </c>
      <c r="U44" s="72">
        <v>57624619.996352002</v>
      </c>
      <c r="V44" s="72">
        <v>57435380.003647983</v>
      </c>
      <c r="W44" s="51">
        <v>196930000</v>
      </c>
      <c r="X44" s="72">
        <v>87715000</v>
      </c>
      <c r="Y44" s="72">
        <v>110572000</v>
      </c>
      <c r="Z44" s="72">
        <v>103793000</v>
      </c>
      <c r="AA44" s="72">
        <f>AA40-AA43</f>
        <v>70250000</v>
      </c>
      <c r="AB44" s="51">
        <f>AB40-AB43</f>
        <v>372331000</v>
      </c>
      <c r="AC44" s="72">
        <v>44455000</v>
      </c>
      <c r="AD44" s="72">
        <v>68680396.085556909</v>
      </c>
      <c r="AE44" s="130">
        <v>56226000</v>
      </c>
    </row>
    <row r="45" spans="1:33" x14ac:dyDescent="0.25">
      <c r="A45" s="19"/>
      <c r="B45" s="31"/>
      <c r="C45" s="73"/>
      <c r="D45" s="74"/>
      <c r="E45" s="74"/>
      <c r="F45" s="74"/>
      <c r="G45" s="74"/>
      <c r="H45" s="75"/>
      <c r="I45" s="74"/>
      <c r="J45" s="74"/>
      <c r="K45" s="74"/>
      <c r="L45" s="74"/>
      <c r="M45" s="75"/>
      <c r="N45" s="74"/>
      <c r="O45" s="74"/>
      <c r="P45" s="74"/>
      <c r="Q45" s="74"/>
      <c r="R45" s="75"/>
      <c r="S45" s="74"/>
      <c r="T45" s="74"/>
      <c r="U45" s="74"/>
      <c r="V45" s="74"/>
      <c r="W45" s="75"/>
      <c r="X45" s="74"/>
      <c r="Y45" s="74"/>
      <c r="Z45" s="74"/>
      <c r="AA45" s="74"/>
      <c r="AB45" s="75"/>
      <c r="AC45" s="74"/>
      <c r="AD45" s="74"/>
      <c r="AE45" s="131"/>
    </row>
    <row r="46" spans="1:33" hidden="1" x14ac:dyDescent="0.25">
      <c r="A46" s="19"/>
      <c r="B46" s="15" t="s">
        <v>42</v>
      </c>
      <c r="C46" s="61"/>
      <c r="D46" s="76"/>
      <c r="E46" s="76"/>
      <c r="F46" s="76"/>
      <c r="G46" s="76"/>
      <c r="H46" s="77"/>
      <c r="I46" s="76"/>
      <c r="J46" s="76"/>
      <c r="K46" s="76"/>
      <c r="L46" s="76"/>
      <c r="M46" s="77"/>
      <c r="N46" s="76"/>
      <c r="O46" s="76"/>
      <c r="P46" s="76"/>
      <c r="Q46" s="76"/>
      <c r="R46" s="77"/>
      <c r="S46" s="76"/>
      <c r="T46" s="76"/>
      <c r="U46" s="76"/>
      <c r="V46" s="76"/>
      <c r="W46" s="77"/>
      <c r="X46" s="76"/>
      <c r="Y46" s="76"/>
      <c r="Z46" s="76"/>
      <c r="AA46" s="76"/>
      <c r="AB46" s="77"/>
      <c r="AC46" s="76"/>
      <c r="AD46" s="76"/>
      <c r="AE46" s="132"/>
    </row>
    <row r="47" spans="1:33" ht="15.75" x14ac:dyDescent="0.25">
      <c r="A47" s="8"/>
      <c r="B47" s="15" t="s">
        <v>43</v>
      </c>
      <c r="C47" s="76"/>
      <c r="D47" s="76">
        <v>3.9668506118869303E-2</v>
      </c>
      <c r="E47" s="76">
        <v>-1.1183667342190198E-2</v>
      </c>
      <c r="F47" s="76">
        <v>-0.15276120886954564</v>
      </c>
      <c r="G47" s="76">
        <v>-0.41465754426770707</v>
      </c>
      <c r="H47" s="78">
        <v>-0.53892031079914415</v>
      </c>
      <c r="I47" s="76">
        <v>-7.768476575665656E-2</v>
      </c>
      <c r="J47" s="76">
        <v>0.47066509807532925</v>
      </c>
      <c r="K47" s="76">
        <v>0.315467137729458</v>
      </c>
      <c r="L47" s="76">
        <v>0.34753383728418874</v>
      </c>
      <c r="M47" s="78">
        <v>1.0603249007837927</v>
      </c>
      <c r="N47" s="76">
        <v>0.58721745711402629</v>
      </c>
      <c r="O47" s="76">
        <v>0.60317924147181379</v>
      </c>
      <c r="P47" s="76">
        <v>0.47</v>
      </c>
      <c r="Q47" s="76">
        <v>0.58060243792569077</v>
      </c>
      <c r="R47" s="78">
        <v>2.2412614944428513</v>
      </c>
      <c r="S47" s="76">
        <v>0.67217552357885735</v>
      </c>
      <c r="T47" s="76">
        <v>0.79903665073156593</v>
      </c>
      <c r="U47" s="76">
        <v>1.0363021975389706</v>
      </c>
      <c r="V47" s="76">
        <v>1.0251192261663451</v>
      </c>
      <c r="W47" s="78">
        <v>3.5321232557305304</v>
      </c>
      <c r="X47" s="76">
        <v>1.32</v>
      </c>
      <c r="Y47" s="76">
        <v>1.6287525803597758</v>
      </c>
      <c r="Z47" s="76">
        <v>1.52</v>
      </c>
      <c r="AA47" s="76">
        <v>1.084011682258788</v>
      </c>
      <c r="AB47" s="78">
        <v>5.5678625354898212</v>
      </c>
      <c r="AC47" s="76">
        <v>0.73650000000000004</v>
      </c>
      <c r="AD47" s="76">
        <v>1.1465067760140617</v>
      </c>
      <c r="AE47" s="132">
        <v>0.94331664731347142</v>
      </c>
    </row>
    <row r="48" spans="1:33" x14ac:dyDescent="0.25">
      <c r="A48" s="52"/>
      <c r="B48" s="63" t="s">
        <v>44</v>
      </c>
      <c r="C48" s="54"/>
      <c r="D48" s="79">
        <v>-0.91752535147464198</v>
      </c>
      <c r="E48" s="79">
        <v>-1.0274078862215055</v>
      </c>
      <c r="F48" s="79">
        <v>-2.3820021478322895</v>
      </c>
      <c r="G48" s="79">
        <v>0.7828068715815848</v>
      </c>
      <c r="H48" s="80">
        <v>-1.70298665115531</v>
      </c>
      <c r="I48" s="79">
        <v>-2.9583486588546846</v>
      </c>
      <c r="J48" s="79">
        <v>43.085040950722203</v>
      </c>
      <c r="K48" s="79">
        <v>3.0650997728020029</v>
      </c>
      <c r="L48" s="79">
        <v>1.8381225473611964</v>
      </c>
      <c r="M48" s="80">
        <v>2.9674984956708679</v>
      </c>
      <c r="N48" s="79">
        <v>8.5589782809341806</v>
      </c>
      <c r="O48" s="79">
        <v>0.28154656875635986</v>
      </c>
      <c r="P48" s="79">
        <v>8.6999999999999994E-2</v>
      </c>
      <c r="Q48" s="79">
        <v>0.67063570690791441</v>
      </c>
      <c r="R48" s="80">
        <v>1.1137497504643243</v>
      </c>
      <c r="S48" s="79">
        <v>0.14608309382961079</v>
      </c>
      <c r="T48" s="79">
        <v>0.32500000000000001</v>
      </c>
      <c r="U48" s="79">
        <v>1.2108313720622379</v>
      </c>
      <c r="V48" s="79">
        <v>0.77200000000000002</v>
      </c>
      <c r="W48" s="80">
        <v>0.57999999999999996</v>
      </c>
      <c r="X48" s="79">
        <v>0.96799999999999997</v>
      </c>
      <c r="Y48" s="79">
        <v>1.038395333766674</v>
      </c>
      <c r="Z48" s="79">
        <v>0.46200000000000002</v>
      </c>
      <c r="AA48" s="79">
        <v>5.2999999999999999E-2</v>
      </c>
      <c r="AB48" s="80">
        <v>0.57799999999999996</v>
      </c>
      <c r="AC48" s="79">
        <f>(AC47-X47)/X47</f>
        <v>-0.44204545454545452</v>
      </c>
      <c r="AD48" s="79">
        <f>(AD47-Y47)/Y47</f>
        <v>-0.29608291041920598</v>
      </c>
      <c r="AE48" s="133">
        <v>-0.37940000000000002</v>
      </c>
      <c r="AF48" s="128"/>
      <c r="AG48" s="122"/>
    </row>
    <row r="49" spans="1:33" x14ac:dyDescent="0.25">
      <c r="A49" s="8"/>
      <c r="B49" s="69"/>
      <c r="C49" s="40"/>
      <c r="D49" s="81"/>
      <c r="E49" s="81"/>
      <c r="F49" s="81"/>
      <c r="G49" s="81"/>
      <c r="H49" s="82"/>
      <c r="I49" s="81"/>
      <c r="J49" s="81"/>
      <c r="K49" s="81"/>
      <c r="L49" s="81"/>
      <c r="M49" s="82"/>
      <c r="N49" s="81"/>
      <c r="O49" s="81"/>
      <c r="P49" s="81"/>
      <c r="Q49" s="81"/>
      <c r="R49" s="82"/>
      <c r="S49" s="81"/>
      <c r="T49" s="81"/>
      <c r="U49" s="81"/>
      <c r="V49" s="81"/>
      <c r="W49" s="82"/>
      <c r="X49" s="81"/>
      <c r="Y49" s="81"/>
      <c r="Z49" s="81"/>
      <c r="AA49" s="81"/>
      <c r="AB49" s="82"/>
      <c r="AC49" s="81"/>
      <c r="AD49" s="81"/>
      <c r="AE49" s="134"/>
    </row>
    <row r="50" spans="1:33" ht="14.45" hidden="1" customHeight="1" x14ac:dyDescent="0.25">
      <c r="A50" s="83"/>
      <c r="B50" s="15" t="s">
        <v>45</v>
      </c>
      <c r="C50" s="24"/>
      <c r="D50" s="22"/>
      <c r="E50" s="22"/>
      <c r="F50" s="22"/>
      <c r="G50" s="22"/>
      <c r="H50" s="47"/>
      <c r="I50" s="22"/>
      <c r="J50" s="22"/>
      <c r="K50" s="22"/>
      <c r="L50" s="22"/>
      <c r="M50" s="47"/>
      <c r="N50" s="22"/>
      <c r="O50" s="22"/>
      <c r="P50" s="22"/>
      <c r="Q50" s="22"/>
      <c r="R50" s="47"/>
      <c r="S50" s="22"/>
      <c r="T50" s="22"/>
      <c r="U50" s="22"/>
      <c r="V50" s="22"/>
      <c r="W50" s="47"/>
      <c r="X50" s="22"/>
      <c r="Y50" s="22"/>
      <c r="Z50" s="22"/>
      <c r="AA50" s="22"/>
      <c r="AB50" s="47"/>
      <c r="AC50" s="22"/>
      <c r="AD50" s="22"/>
      <c r="AE50" s="120"/>
    </row>
    <row r="51" spans="1:33" x14ac:dyDescent="0.25">
      <c r="A51" s="19"/>
      <c r="B51" s="26" t="s">
        <v>46</v>
      </c>
      <c r="C51" s="21"/>
      <c r="D51" s="66">
        <v>53709106</v>
      </c>
      <c r="E51" s="66">
        <v>53292000</v>
      </c>
      <c r="F51" s="66">
        <v>53306000</v>
      </c>
      <c r="G51" s="66">
        <v>53312000</v>
      </c>
      <c r="H51" s="67">
        <v>53282000</v>
      </c>
      <c r="I51" s="66">
        <v>53406000</v>
      </c>
      <c r="J51" s="66">
        <v>54295000</v>
      </c>
      <c r="K51" s="66">
        <v>54912000</v>
      </c>
      <c r="L51" s="66">
        <v>54967000</v>
      </c>
      <c r="M51" s="67">
        <v>54541500</v>
      </c>
      <c r="N51" s="66">
        <v>55496000</v>
      </c>
      <c r="O51" s="66">
        <v>55706309.118515</v>
      </c>
      <c r="P51" s="66">
        <v>56058000</v>
      </c>
      <c r="Q51" s="66">
        <v>56571000</v>
      </c>
      <c r="R51" s="67">
        <v>55955000</v>
      </c>
      <c r="S51" s="66">
        <v>56152000</v>
      </c>
      <c r="T51" s="66">
        <v>55224000</v>
      </c>
      <c r="U51" s="66">
        <v>55606000</v>
      </c>
      <c r="V51" s="66">
        <v>56028000</v>
      </c>
      <c r="W51" s="67">
        <v>55754000</v>
      </c>
      <c r="X51" s="66">
        <v>66295000</v>
      </c>
      <c r="Y51" s="66">
        <v>67820000</v>
      </c>
      <c r="Z51" s="66">
        <v>68194000</v>
      </c>
      <c r="AA51" s="66">
        <v>64989000</v>
      </c>
      <c r="AB51" s="67">
        <v>66839000</v>
      </c>
      <c r="AC51" s="66">
        <v>60120000</v>
      </c>
      <c r="AD51" s="66">
        <v>59672000</v>
      </c>
      <c r="AE51" s="135">
        <v>59603000</v>
      </c>
    </row>
    <row r="52" spans="1:33" ht="24" customHeight="1" x14ac:dyDescent="0.25">
      <c r="A52" s="8"/>
      <c r="B52" s="15" t="s">
        <v>47</v>
      </c>
      <c r="C52" s="61"/>
      <c r="D52" s="84">
        <v>14803000</v>
      </c>
      <c r="E52" s="84">
        <v>10231000</v>
      </c>
      <c r="F52" s="84">
        <v>-1620000</v>
      </c>
      <c r="G52" s="84">
        <v>-27254000</v>
      </c>
      <c r="H52" s="85">
        <v>-3840000</v>
      </c>
      <c r="I52" s="84">
        <v>7185000</v>
      </c>
      <c r="J52" s="84">
        <v>43640000</v>
      </c>
      <c r="K52" s="84">
        <v>32353000</v>
      </c>
      <c r="L52" s="84">
        <v>32283000</v>
      </c>
      <c r="M52" s="85">
        <v>115461000</v>
      </c>
      <c r="N52" s="84">
        <v>50719000</v>
      </c>
      <c r="O52" s="84">
        <v>52292000</v>
      </c>
      <c r="P52" s="84">
        <v>41706000</v>
      </c>
      <c r="Q52" s="84">
        <v>48414000</v>
      </c>
      <c r="R52" s="85">
        <v>193131000</v>
      </c>
      <c r="S52" s="84">
        <v>50578000</v>
      </c>
      <c r="T52" s="84">
        <v>61556000</v>
      </c>
      <c r="U52" s="84">
        <v>78330000</v>
      </c>
      <c r="V52" s="84">
        <v>83427000</v>
      </c>
      <c r="W52" s="85">
        <v>273891000</v>
      </c>
      <c r="X52" s="84">
        <v>121165000</v>
      </c>
      <c r="Y52" s="84">
        <v>168298000</v>
      </c>
      <c r="Z52" s="84">
        <v>156358000</v>
      </c>
      <c r="AA52" s="84">
        <f>AA35</f>
        <v>110367000</v>
      </c>
      <c r="AB52" s="85">
        <f>AB35</f>
        <v>556187000</v>
      </c>
      <c r="AC52" s="84">
        <f>+AC35</f>
        <v>78338000</v>
      </c>
      <c r="AD52" s="84">
        <f>+AD35</f>
        <v>111749000</v>
      </c>
      <c r="AE52" s="136">
        <v>98696000</v>
      </c>
      <c r="AF52" s="126"/>
      <c r="AG52" s="127"/>
    </row>
    <row r="53" spans="1:33" ht="24" customHeight="1" x14ac:dyDescent="0.25">
      <c r="A53" s="8"/>
      <c r="B53" s="15" t="s">
        <v>120</v>
      </c>
      <c r="C53" s="61"/>
      <c r="D53" s="84">
        <v>-697638</v>
      </c>
      <c r="E53" s="84">
        <v>1777019.0000000002</v>
      </c>
      <c r="F53" s="84">
        <v>1118447.9999999998</v>
      </c>
      <c r="G53" s="84">
        <v>1698125.9999999998</v>
      </c>
      <c r="H53" s="85">
        <v>3895955</v>
      </c>
      <c r="I53" s="84">
        <v>1862000</v>
      </c>
      <c r="J53" s="84">
        <v>1132590</v>
      </c>
      <c r="K53" s="84">
        <v>1498545.0000000005</v>
      </c>
      <c r="L53" s="84">
        <v>1468365.9999999995</v>
      </c>
      <c r="M53" s="85">
        <v>5961501</v>
      </c>
      <c r="N53" s="84">
        <v>709000</v>
      </c>
      <c r="O53" s="84">
        <v>1981735.0000000002</v>
      </c>
      <c r="P53" s="84">
        <v>1952765.0000000002</v>
      </c>
      <c r="Q53" s="84">
        <v>2314500</v>
      </c>
      <c r="R53" s="85">
        <v>6958000</v>
      </c>
      <c r="S53" s="84">
        <v>3043000</v>
      </c>
      <c r="T53" s="84">
        <v>2848555.9999999995</v>
      </c>
      <c r="U53" s="84">
        <v>2997444</v>
      </c>
      <c r="V53" s="84">
        <v>3395170</v>
      </c>
      <c r="W53" s="85">
        <v>12284170</v>
      </c>
      <c r="X53" s="84">
        <v>4224471.3</v>
      </c>
      <c r="Y53" s="84">
        <v>5216873.7100000009</v>
      </c>
      <c r="Z53" s="84">
        <v>5597343.6099999994</v>
      </c>
      <c r="AA53" s="84">
        <v>5525239.8194474615</v>
      </c>
      <c r="AB53" s="85">
        <v>20563928.439447463</v>
      </c>
      <c r="AC53" s="84">
        <v>6630000</v>
      </c>
      <c r="AD53" s="84">
        <v>4265506</v>
      </c>
      <c r="AE53" s="136">
        <v>3488000</v>
      </c>
      <c r="AF53" s="126"/>
    </row>
    <row r="54" spans="1:33" x14ac:dyDescent="0.25">
      <c r="A54" s="8"/>
      <c r="B54" s="20" t="s">
        <v>48</v>
      </c>
      <c r="C54" s="61"/>
      <c r="D54" s="86">
        <v>18541000</v>
      </c>
      <c r="E54" s="86">
        <v>18708000</v>
      </c>
      <c r="F54" s="86">
        <v>18679000</v>
      </c>
      <c r="G54" s="86">
        <v>18711000</v>
      </c>
      <c r="H54" s="87">
        <v>74639000</v>
      </c>
      <c r="I54" s="86">
        <v>17900000</v>
      </c>
      <c r="J54" s="86">
        <v>17428000</v>
      </c>
      <c r="K54" s="86">
        <v>16946000</v>
      </c>
      <c r="L54" s="86">
        <v>16672000</v>
      </c>
      <c r="M54" s="87">
        <v>68946000</v>
      </c>
      <c r="N54" s="86">
        <v>15773000</v>
      </c>
      <c r="O54" s="86">
        <v>15121000</v>
      </c>
      <c r="P54" s="86">
        <v>14894000</v>
      </c>
      <c r="Q54" s="86">
        <v>15316000</v>
      </c>
      <c r="R54" s="87">
        <v>61104000</v>
      </c>
      <c r="S54" s="86">
        <v>14913000</v>
      </c>
      <c r="T54" s="86">
        <v>14348000</v>
      </c>
      <c r="U54" s="86">
        <v>13810000</v>
      </c>
      <c r="V54" s="86">
        <v>13587000</v>
      </c>
      <c r="W54" s="87">
        <v>56658000</v>
      </c>
      <c r="X54" s="86">
        <v>13393000</v>
      </c>
      <c r="Y54" s="86">
        <v>13566000</v>
      </c>
      <c r="Z54" s="86">
        <v>13835000</v>
      </c>
      <c r="AA54" s="86">
        <f>AA32</f>
        <v>14036000</v>
      </c>
      <c r="AB54" s="87">
        <f>AB32</f>
        <v>54830000</v>
      </c>
      <c r="AC54" s="86">
        <f>+AC32</f>
        <v>14529000</v>
      </c>
      <c r="AD54" s="86">
        <f>+AD32</f>
        <v>12880304.242876522</v>
      </c>
      <c r="AE54" s="137">
        <v>12798000</v>
      </c>
    </row>
    <row r="55" spans="1:33" ht="15.75" x14ac:dyDescent="0.25">
      <c r="A55" s="8"/>
      <c r="B55" s="15" t="s">
        <v>122</v>
      </c>
      <c r="C55" s="61"/>
      <c r="D55" s="68">
        <f>+D54+D53+D35</f>
        <v>32646362</v>
      </c>
      <c r="E55" s="68">
        <f t="shared" ref="E55:AB55" si="4">+E54+E53+E35</f>
        <v>30716019</v>
      </c>
      <c r="F55" s="68">
        <f t="shared" si="4"/>
        <v>18177448</v>
      </c>
      <c r="G55" s="68">
        <f t="shared" si="4"/>
        <v>-6844874</v>
      </c>
      <c r="H55" s="85">
        <f t="shared" si="4"/>
        <v>74694955</v>
      </c>
      <c r="I55" s="68">
        <f t="shared" si="4"/>
        <v>26947000</v>
      </c>
      <c r="J55" s="68">
        <f t="shared" si="4"/>
        <v>62200590</v>
      </c>
      <c r="K55" s="68">
        <f t="shared" si="4"/>
        <v>50797545</v>
      </c>
      <c r="L55" s="68">
        <f t="shared" si="4"/>
        <v>50423366</v>
      </c>
      <c r="M55" s="85">
        <f t="shared" si="4"/>
        <v>190368501</v>
      </c>
      <c r="N55" s="68">
        <f t="shared" si="4"/>
        <v>67201000</v>
      </c>
      <c r="O55" s="68">
        <f t="shared" si="4"/>
        <v>69394735</v>
      </c>
      <c r="P55" s="68">
        <f t="shared" si="4"/>
        <v>58552765</v>
      </c>
      <c r="Q55" s="68">
        <f t="shared" si="4"/>
        <v>66044500</v>
      </c>
      <c r="R55" s="85">
        <f t="shared" si="4"/>
        <v>261193000</v>
      </c>
      <c r="S55" s="68">
        <f t="shared" si="4"/>
        <v>68534000</v>
      </c>
      <c r="T55" s="68">
        <f t="shared" si="4"/>
        <v>78752556</v>
      </c>
      <c r="U55" s="68">
        <f t="shared" si="4"/>
        <v>95137444</v>
      </c>
      <c r="V55" s="68">
        <f t="shared" si="4"/>
        <v>100409170</v>
      </c>
      <c r="W55" s="85">
        <f t="shared" si="4"/>
        <v>342833170</v>
      </c>
      <c r="X55" s="68">
        <f t="shared" si="4"/>
        <v>138782471.30000001</v>
      </c>
      <c r="Y55" s="68">
        <f t="shared" si="4"/>
        <v>187080873.71000001</v>
      </c>
      <c r="Z55" s="68">
        <f t="shared" si="4"/>
        <v>175789343.61000001</v>
      </c>
      <c r="AA55" s="68">
        <f t="shared" si="4"/>
        <v>129928239.81944746</v>
      </c>
      <c r="AB55" s="85">
        <f t="shared" si="4"/>
        <v>631580928.4394474</v>
      </c>
      <c r="AC55" s="68">
        <f>+AC54+AC52+AC53</f>
        <v>99497000</v>
      </c>
      <c r="AD55" s="68">
        <f>+AD54+AD52+AD53</f>
        <v>128894810.24287653</v>
      </c>
      <c r="AE55" s="138">
        <v>114982000</v>
      </c>
    </row>
    <row r="56" spans="1:33" ht="15.75" thickBot="1" x14ac:dyDescent="0.3">
      <c r="A56" s="8"/>
      <c r="B56" s="88" t="s">
        <v>49</v>
      </c>
      <c r="C56" s="89"/>
      <c r="D56" s="90">
        <f>+D55/D18</f>
        <v>4.3998622615521045E-2</v>
      </c>
      <c r="E56" s="90">
        <f t="shared" ref="E56:AB56" si="5">+E55/E18</f>
        <v>4.5328265216525124E-2</v>
      </c>
      <c r="F56" s="90">
        <f t="shared" si="5"/>
        <v>2.8227385028689447E-2</v>
      </c>
      <c r="G56" s="90">
        <f t="shared" si="5"/>
        <v>-1.0712624069964347E-2</v>
      </c>
      <c r="H56" s="91">
        <f t="shared" si="5"/>
        <v>2.7638797205591776E-2</v>
      </c>
      <c r="I56" s="90">
        <f t="shared" si="5"/>
        <v>3.8603639030833345E-2</v>
      </c>
      <c r="J56" s="90">
        <f t="shared" si="5"/>
        <v>9.4857014319918262E-2</v>
      </c>
      <c r="K56" s="90">
        <f t="shared" si="5"/>
        <v>7.8762966282239333E-2</v>
      </c>
      <c r="L56" s="90">
        <f t="shared" si="5"/>
        <v>7.619700188893086E-2</v>
      </c>
      <c r="M56" s="91">
        <f t="shared" si="5"/>
        <v>7.1554597034728898E-2</v>
      </c>
      <c r="N56" s="90">
        <f t="shared" si="5"/>
        <v>9.6456981113659662E-2</v>
      </c>
      <c r="O56" s="90">
        <f t="shared" si="5"/>
        <v>0.10579675267751648</v>
      </c>
      <c r="P56" s="90">
        <f t="shared" si="5"/>
        <v>9.016843222133418E-2</v>
      </c>
      <c r="Q56" s="90">
        <f t="shared" si="5"/>
        <v>9.8889441231871253E-2</v>
      </c>
      <c r="R56" s="91">
        <f t="shared" si="5"/>
        <v>9.7830516448102742E-2</v>
      </c>
      <c r="S56" s="90">
        <f t="shared" si="5"/>
        <v>9.7635264602764629E-2</v>
      </c>
      <c r="T56" s="90">
        <f t="shared" si="5"/>
        <v>0.11517808659940973</v>
      </c>
      <c r="U56" s="90">
        <f t="shared" si="5"/>
        <v>0.1336171906490734</v>
      </c>
      <c r="V56" s="90">
        <f t="shared" si="5"/>
        <v>0.14014016924148384</v>
      </c>
      <c r="W56" s="91">
        <f t="shared" si="5"/>
        <v>0.12182299282458085</v>
      </c>
      <c r="X56" s="90">
        <f t="shared" si="5"/>
        <v>0.13385887418955963</v>
      </c>
      <c r="Y56" s="90">
        <f t="shared" si="5"/>
        <v>0.15668742956092047</v>
      </c>
      <c r="Z56" s="90">
        <f t="shared" si="5"/>
        <v>0.14881410789930821</v>
      </c>
      <c r="AA56" s="90">
        <f t="shared" si="5"/>
        <v>0.11091459453644316</v>
      </c>
      <c r="AB56" s="91">
        <f t="shared" si="5"/>
        <v>0.13779593769835161</v>
      </c>
      <c r="AC56" s="90">
        <f>+AC55/AC18</f>
        <v>8.5793836798819023E-2</v>
      </c>
      <c r="AD56" s="90">
        <f>+AD55/AD18</f>
        <v>0.12032136295563607</v>
      </c>
      <c r="AE56" s="139">
        <f>+AE55/AE18</f>
        <v>0.11229182475435981</v>
      </c>
      <c r="AF56" s="124"/>
    </row>
    <row r="57" spans="1:33" ht="15.6" customHeight="1" x14ac:dyDescent="0.25">
      <c r="A57" s="48"/>
      <c r="B57" s="48"/>
      <c r="C57" s="49"/>
      <c r="D57" s="48"/>
      <c r="E57" s="48"/>
      <c r="F57" s="48"/>
      <c r="G57" s="48"/>
      <c r="H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AA57" s="48"/>
      <c r="AB57" s="48"/>
    </row>
    <row r="58" spans="1:33" ht="26.45" customHeight="1" x14ac:dyDescent="0.25">
      <c r="A58" s="8"/>
      <c r="B58" s="147" t="s">
        <v>118</v>
      </c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</row>
    <row r="59" spans="1:33" ht="15.75" x14ac:dyDescent="0.25">
      <c r="A59" s="8"/>
      <c r="B59" s="92" t="s">
        <v>50</v>
      </c>
      <c r="C59" s="48"/>
      <c r="D59" s="48"/>
      <c r="E59" s="8"/>
      <c r="F59" s="8"/>
      <c r="G59" s="8"/>
      <c r="H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AA59" s="8"/>
      <c r="AB59" s="8"/>
    </row>
    <row r="60" spans="1:33" ht="15" customHeight="1" x14ac:dyDescent="0.25">
      <c r="A60" s="8"/>
      <c r="B60" s="146" t="s">
        <v>51</v>
      </c>
      <c r="C60" s="146"/>
      <c r="D60" s="146"/>
      <c r="E60" s="146"/>
      <c r="F60" s="146"/>
      <c r="G60" s="146"/>
      <c r="H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AA60" s="8"/>
      <c r="AB60" s="8"/>
    </row>
    <row r="61" spans="1:33" x14ac:dyDescent="0.25">
      <c r="A61" s="8"/>
      <c r="B61" s="93" t="s">
        <v>52</v>
      </c>
      <c r="C61" s="93"/>
      <c r="D61" s="93"/>
      <c r="E61" s="93"/>
      <c r="F61" s="93"/>
      <c r="G61" s="93"/>
      <c r="H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AA61" s="8"/>
      <c r="AB61" s="8"/>
    </row>
    <row r="62" spans="1:33" x14ac:dyDescent="0.25">
      <c r="A62" s="8"/>
      <c r="B62" s="93" t="s">
        <v>53</v>
      </c>
      <c r="C62" s="48"/>
      <c r="D62" s="48"/>
      <c r="E62" s="8"/>
      <c r="F62" s="8"/>
      <c r="G62" s="8"/>
      <c r="H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AA62" s="8"/>
      <c r="AB62" s="8"/>
    </row>
    <row r="63" spans="1:33" x14ac:dyDescent="0.25">
      <c r="A63" s="8"/>
      <c r="B63" s="94" t="s">
        <v>54</v>
      </c>
      <c r="C63" s="48"/>
      <c r="D63" s="48"/>
      <c r="E63" s="8"/>
      <c r="F63" s="8"/>
      <c r="G63" s="8"/>
      <c r="H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AA63" s="8"/>
      <c r="AB63" s="8"/>
    </row>
    <row r="64" spans="1:33" ht="28.15" customHeight="1" x14ac:dyDescent="0.25">
      <c r="A64" s="8"/>
      <c r="B64" s="140" t="s">
        <v>55</v>
      </c>
      <c r="C64" s="140"/>
      <c r="D64" s="140"/>
      <c r="E64" s="140"/>
      <c r="F64" s="140"/>
      <c r="G64" s="140"/>
      <c r="H64" s="140"/>
      <c r="I64" s="140"/>
      <c r="J64" s="140"/>
      <c r="K64" s="140"/>
      <c r="L64" s="140"/>
      <c r="M64" s="140"/>
      <c r="N64" s="140"/>
      <c r="O64" s="140"/>
      <c r="P64" s="140"/>
      <c r="Q64" s="140"/>
      <c r="R64" s="140"/>
      <c r="S64" s="140"/>
      <c r="T64" s="140"/>
      <c r="U64" s="140"/>
    </row>
    <row r="65" spans="1:28" ht="14.45" customHeight="1" x14ac:dyDescent="0.25">
      <c r="A65" s="8"/>
      <c r="B65" s="140" t="s">
        <v>56</v>
      </c>
      <c r="C65" s="140"/>
      <c r="D65" s="140"/>
      <c r="E65" s="140"/>
      <c r="F65" s="140"/>
      <c r="G65" s="140"/>
      <c r="H65" s="140"/>
      <c r="I65" s="140"/>
      <c r="J65" s="140"/>
      <c r="K65" s="140"/>
      <c r="L65" s="140"/>
      <c r="M65" s="140"/>
      <c r="N65" s="140"/>
      <c r="O65" s="140"/>
      <c r="P65" s="8"/>
      <c r="Q65" s="8"/>
      <c r="R65" s="8"/>
      <c r="S65" s="8"/>
      <c r="T65" s="8"/>
      <c r="U65" s="8"/>
      <c r="V65" s="8"/>
      <c r="W65" s="8"/>
      <c r="AA65" s="8"/>
      <c r="AB65" s="8"/>
    </row>
    <row r="66" spans="1:28" ht="27" customHeight="1" x14ac:dyDescent="0.25">
      <c r="A66" s="8"/>
      <c r="B66" s="140" t="s">
        <v>57</v>
      </c>
      <c r="C66" s="140"/>
      <c r="D66" s="140"/>
      <c r="E66" s="140"/>
      <c r="F66" s="140"/>
      <c r="G66" s="140"/>
      <c r="H66" s="140"/>
      <c r="I66" s="140"/>
      <c r="J66" s="140"/>
      <c r="K66" s="140"/>
      <c r="L66" s="140"/>
      <c r="M66" s="140"/>
      <c r="N66" s="140"/>
      <c r="O66" s="140"/>
      <c r="P66" s="140"/>
      <c r="Q66" s="140"/>
      <c r="R66" s="140"/>
      <c r="S66" s="140"/>
      <c r="T66" s="140"/>
      <c r="U66" s="140"/>
    </row>
    <row r="67" spans="1:28" ht="27" customHeight="1" x14ac:dyDescent="0.25">
      <c r="A67" s="8"/>
      <c r="B67" s="140" t="s">
        <v>58</v>
      </c>
      <c r="C67" s="140"/>
      <c r="D67" s="140"/>
      <c r="E67" s="140"/>
      <c r="F67" s="140"/>
      <c r="G67" s="140"/>
      <c r="H67" s="140"/>
      <c r="I67" s="140"/>
      <c r="J67" s="140"/>
      <c r="K67" s="140"/>
      <c r="L67" s="140"/>
      <c r="M67" s="140"/>
      <c r="N67" s="140"/>
      <c r="O67" s="140"/>
      <c r="P67" s="140"/>
      <c r="Q67" s="140"/>
      <c r="R67" s="140"/>
      <c r="S67" s="140"/>
      <c r="T67" s="140"/>
      <c r="U67" s="140"/>
    </row>
    <row r="68" spans="1:28" ht="30.6" customHeight="1" x14ac:dyDescent="0.25">
      <c r="A68" s="8"/>
      <c r="B68" s="140" t="s">
        <v>59</v>
      </c>
      <c r="C68" s="140"/>
      <c r="D68" s="140"/>
      <c r="E68" s="140"/>
      <c r="F68" s="140"/>
      <c r="G68" s="140"/>
      <c r="H68" s="140"/>
      <c r="I68" s="140"/>
      <c r="J68" s="140"/>
      <c r="K68" s="140"/>
      <c r="L68" s="140"/>
      <c r="M68" s="140"/>
      <c r="N68" s="140"/>
      <c r="O68" s="140"/>
      <c r="P68" s="140"/>
      <c r="Q68" s="140"/>
      <c r="R68" s="140"/>
      <c r="S68" s="140"/>
      <c r="T68" s="140"/>
      <c r="U68" s="140"/>
    </row>
    <row r="69" spans="1:28" x14ac:dyDescent="0.25">
      <c r="B69" t="s">
        <v>121</v>
      </c>
    </row>
  </sheetData>
  <mergeCells count="11">
    <mergeCell ref="B66:U66"/>
    <mergeCell ref="B67:U67"/>
    <mergeCell ref="B68:U68"/>
    <mergeCell ref="D4:G4"/>
    <mergeCell ref="I4:L4"/>
    <mergeCell ref="N4:Q4"/>
    <mergeCell ref="B60:G60"/>
    <mergeCell ref="B65:O65"/>
    <mergeCell ref="B58:U58"/>
    <mergeCell ref="B64:U64"/>
    <mergeCell ref="S4:V4"/>
  </mergeCells>
  <pageMargins left="0.7" right="0.7" top="0.75" bottom="0.75" header="0.3" footer="0.3"/>
  <pageSetup scale="4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AF40"/>
  <sheetViews>
    <sheetView showGridLines="0" view="pageBreakPreview" zoomScale="85" zoomScaleNormal="70" zoomScaleSheetLayoutView="85" workbookViewId="0">
      <pane ySplit="5" topLeftCell="A6" activePane="bottomLeft" state="frozen"/>
      <selection activeCell="AF18" sqref="AF18"/>
      <selection pane="bottomLeft" activeCell="AF2" sqref="AF2"/>
    </sheetView>
  </sheetViews>
  <sheetFormatPr defaultRowHeight="15" outlineLevelCol="1" x14ac:dyDescent="0.25"/>
  <cols>
    <col min="1" max="1" width="2.7109375" customWidth="1"/>
    <col min="2" max="2" width="49.42578125" customWidth="1"/>
    <col min="3" max="3" width="1.28515625" customWidth="1"/>
    <col min="4" max="4" width="11.140625" hidden="1" customWidth="1" outlineLevel="1"/>
    <col min="5" max="6" width="11.5703125" hidden="1" customWidth="1" outlineLevel="1"/>
    <col min="7" max="7" width="12" hidden="1" customWidth="1" outlineLevel="1"/>
    <col min="8" max="8" width="12.5703125" hidden="1" customWidth="1" outlineLevel="1"/>
    <col min="9" max="9" width="11.140625" hidden="1" customWidth="1" outlineLevel="1"/>
    <col min="10" max="11" width="11.5703125" hidden="1" customWidth="1" outlineLevel="1"/>
    <col min="12" max="12" width="12" hidden="1" customWidth="1" outlineLevel="1"/>
    <col min="13" max="13" width="12.140625" hidden="1" customWidth="1" outlineLevel="1"/>
    <col min="14" max="14" width="11.140625" hidden="1" customWidth="1" outlineLevel="1"/>
    <col min="15" max="16" width="11.5703125" hidden="1" customWidth="1" outlineLevel="1"/>
    <col min="17" max="17" width="12" hidden="1" customWidth="1" outlineLevel="1"/>
    <col min="18" max="18" width="12.5703125" hidden="1" customWidth="1" outlineLevel="1"/>
    <col min="19" max="19" width="11.5703125" hidden="1" customWidth="1" outlineLevel="1"/>
    <col min="20" max="21" width="12" hidden="1" customWidth="1" outlineLevel="1"/>
    <col min="22" max="22" width="12.42578125" hidden="1" customWidth="1" outlineLevel="1"/>
    <col min="23" max="23" width="12.140625" customWidth="1" outlineLevel="1"/>
    <col min="24" max="27" width="12.140625" customWidth="1"/>
    <col min="28" max="28" width="12.140625" bestFit="1" customWidth="1"/>
    <col min="29" max="31" width="12.140625" customWidth="1"/>
    <col min="32" max="32" width="13.140625" style="123" customWidth="1"/>
  </cols>
  <sheetData>
    <row r="1" spans="1:32" ht="28.5" x14ac:dyDescent="0.45">
      <c r="A1" s="1"/>
      <c r="B1" s="2" t="s">
        <v>0</v>
      </c>
      <c r="C1" s="3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AA1" s="1"/>
      <c r="AB1" s="1"/>
    </row>
    <row r="2" spans="1:32" ht="21" x14ac:dyDescent="0.35">
      <c r="A2" s="1"/>
      <c r="B2" s="4" t="s">
        <v>1</v>
      </c>
      <c r="C2" s="5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AA2" s="1"/>
      <c r="AB2" s="1"/>
    </row>
    <row r="3" spans="1:32" ht="19.5" thickBot="1" x14ac:dyDescent="0.35">
      <c r="A3" s="1"/>
      <c r="B3" s="6" t="s">
        <v>2</v>
      </c>
      <c r="C3" s="7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AA3" s="1"/>
      <c r="AB3" s="117"/>
    </row>
    <row r="4" spans="1:32" ht="16.5" thickTop="1" x14ac:dyDescent="0.25">
      <c r="A4" s="8"/>
      <c r="B4" s="9" t="s">
        <v>60</v>
      </c>
      <c r="C4" s="10"/>
      <c r="D4" s="141" t="s">
        <v>4</v>
      </c>
      <c r="E4" s="142"/>
      <c r="F4" s="142"/>
      <c r="G4" s="143"/>
      <c r="H4" s="11" t="s">
        <v>5</v>
      </c>
      <c r="I4" s="144" t="s">
        <v>4</v>
      </c>
      <c r="J4" s="145"/>
      <c r="K4" s="145"/>
      <c r="L4" s="145"/>
      <c r="M4" s="95" t="s">
        <v>5</v>
      </c>
      <c r="N4" s="144" t="s">
        <v>4</v>
      </c>
      <c r="O4" s="145"/>
      <c r="P4" s="145"/>
      <c r="Q4" s="145"/>
      <c r="R4" s="95" t="s">
        <v>5</v>
      </c>
      <c r="S4" s="144" t="s">
        <v>4</v>
      </c>
      <c r="T4" s="145"/>
      <c r="U4" s="145"/>
      <c r="V4" s="145"/>
      <c r="W4" s="95" t="s">
        <v>5</v>
      </c>
      <c r="X4" s="115" t="s">
        <v>4</v>
      </c>
      <c r="Y4" s="116" t="s">
        <v>4</v>
      </c>
      <c r="Z4" s="116" t="s">
        <v>4</v>
      </c>
      <c r="AA4" s="116" t="s">
        <v>4</v>
      </c>
      <c r="AB4" s="11" t="s">
        <v>5</v>
      </c>
      <c r="AC4" s="115" t="s">
        <v>4</v>
      </c>
      <c r="AD4" s="116" t="s">
        <v>4</v>
      </c>
      <c r="AE4" s="116" t="s">
        <v>4</v>
      </c>
    </row>
    <row r="5" spans="1:32" x14ac:dyDescent="0.25">
      <c r="A5" s="8"/>
      <c r="B5" s="12" t="s">
        <v>6</v>
      </c>
      <c r="C5" s="10"/>
      <c r="D5" s="96">
        <v>42825</v>
      </c>
      <c r="E5" s="96">
        <v>42916</v>
      </c>
      <c r="F5" s="96">
        <v>43008</v>
      </c>
      <c r="G5" s="96">
        <v>43100</v>
      </c>
      <c r="H5" s="14">
        <v>2017</v>
      </c>
      <c r="I5" s="13">
        <v>43190</v>
      </c>
      <c r="J5" s="13">
        <v>43281</v>
      </c>
      <c r="K5" s="13" t="s">
        <v>7</v>
      </c>
      <c r="L5" s="13">
        <v>43465</v>
      </c>
      <c r="M5" s="97">
        <v>2018</v>
      </c>
      <c r="N5" s="13">
        <v>43555</v>
      </c>
      <c r="O5" s="13">
        <v>43646</v>
      </c>
      <c r="P5" s="13" t="s">
        <v>9</v>
      </c>
      <c r="Q5" s="13">
        <v>43830</v>
      </c>
      <c r="R5" s="97">
        <v>2019</v>
      </c>
      <c r="S5" s="13">
        <v>43921</v>
      </c>
      <c r="T5" s="13" t="s">
        <v>10</v>
      </c>
      <c r="U5" s="13">
        <v>44104</v>
      </c>
      <c r="V5" s="13">
        <v>44196</v>
      </c>
      <c r="W5" s="97">
        <v>2020</v>
      </c>
      <c r="X5" s="13">
        <v>44286</v>
      </c>
      <c r="Y5" s="13">
        <v>44377</v>
      </c>
      <c r="Z5" s="13">
        <v>44469</v>
      </c>
      <c r="AA5" s="13">
        <v>44561</v>
      </c>
      <c r="AB5" s="14">
        <v>2021</v>
      </c>
      <c r="AC5" s="13">
        <v>44651</v>
      </c>
      <c r="AD5" s="13">
        <v>44742</v>
      </c>
      <c r="AE5" s="13">
        <v>44834</v>
      </c>
      <c r="AF5" s="125"/>
    </row>
    <row r="6" spans="1:32" x14ac:dyDescent="0.25">
      <c r="A6" s="8"/>
      <c r="B6" s="15" t="s">
        <v>11</v>
      </c>
      <c r="C6" s="16"/>
      <c r="D6" s="8"/>
      <c r="E6" s="8"/>
      <c r="F6" s="8"/>
      <c r="G6" s="8"/>
      <c r="H6" s="18"/>
      <c r="I6" s="8"/>
      <c r="J6" s="8"/>
      <c r="K6" s="8"/>
      <c r="L6" s="8" t="s">
        <v>61</v>
      </c>
      <c r="M6" s="18" t="s">
        <v>61</v>
      </c>
      <c r="N6" s="8"/>
      <c r="O6" s="8"/>
      <c r="P6" s="8"/>
      <c r="Q6" s="8"/>
      <c r="R6" s="18"/>
      <c r="S6" s="8"/>
      <c r="T6" s="8"/>
      <c r="U6" s="8"/>
      <c r="V6" s="8"/>
      <c r="W6" s="18"/>
      <c r="AA6" s="8"/>
      <c r="AB6" s="18"/>
    </row>
    <row r="7" spans="1:32" x14ac:dyDescent="0.25">
      <c r="A7" s="19"/>
      <c r="B7" s="20" t="s">
        <v>12</v>
      </c>
      <c r="C7" s="21"/>
      <c r="D7" s="22">
        <v>418452000</v>
      </c>
      <c r="E7" s="22">
        <v>406326000</v>
      </c>
      <c r="F7" s="22">
        <v>395857000</v>
      </c>
      <c r="G7" s="22">
        <v>394099000</v>
      </c>
      <c r="H7" s="23">
        <v>1614734000</v>
      </c>
      <c r="I7" s="22">
        <v>412642000</v>
      </c>
      <c r="J7" s="22">
        <v>410108000</v>
      </c>
      <c r="K7" s="22">
        <v>403483000</v>
      </c>
      <c r="L7" s="22">
        <v>414606000</v>
      </c>
      <c r="M7" s="23">
        <v>1640839000</v>
      </c>
      <c r="N7" s="22">
        <v>407580000</v>
      </c>
      <c r="O7" s="22">
        <v>399799000</v>
      </c>
      <c r="P7" s="22">
        <v>389421000</v>
      </c>
      <c r="Q7" s="22">
        <v>389197000</v>
      </c>
      <c r="R7" s="23">
        <v>1585997000</v>
      </c>
      <c r="S7" s="22">
        <v>393165000</v>
      </c>
      <c r="T7" s="22">
        <v>385338000</v>
      </c>
      <c r="U7" s="22">
        <v>414798000</v>
      </c>
      <c r="V7" s="22">
        <f>W7-U7-T7-S7</f>
        <v>411314000</v>
      </c>
      <c r="W7" s="23">
        <v>1604615000</v>
      </c>
      <c r="X7" s="22">
        <v>429301000</v>
      </c>
      <c r="Y7" s="22">
        <v>438162000</v>
      </c>
      <c r="Z7" s="22">
        <v>446049000</v>
      </c>
      <c r="AA7" s="22">
        <v>449335000</v>
      </c>
      <c r="AB7" s="23">
        <f>SUM(X7:AA7)</f>
        <v>1762847000</v>
      </c>
      <c r="AC7" s="120">
        <v>442695000</v>
      </c>
      <c r="AD7" s="120">
        <v>436371000</v>
      </c>
      <c r="AE7" s="120">
        <v>426805000</v>
      </c>
    </row>
    <row r="8" spans="1:32" x14ac:dyDescent="0.25">
      <c r="A8" s="8"/>
      <c r="B8" s="20" t="s">
        <v>13</v>
      </c>
      <c r="C8" s="24"/>
      <c r="D8" s="22">
        <v>53332000</v>
      </c>
      <c r="E8" s="22">
        <v>30736000</v>
      </c>
      <c r="F8" s="22">
        <v>27564000</v>
      </c>
      <c r="G8" s="22">
        <v>28575000</v>
      </c>
      <c r="H8" s="23">
        <v>140207000</v>
      </c>
      <c r="I8" s="22">
        <v>50584000</v>
      </c>
      <c r="J8" s="22">
        <v>26109000</v>
      </c>
      <c r="K8" s="22">
        <v>30135000</v>
      </c>
      <c r="L8" s="22">
        <v>30050000</v>
      </c>
      <c r="M8" s="23">
        <v>136878000</v>
      </c>
      <c r="N8" s="22">
        <v>50558000</v>
      </c>
      <c r="O8" s="22">
        <v>32935000</v>
      </c>
      <c r="P8" s="22">
        <v>29185000</v>
      </c>
      <c r="Q8" s="22">
        <v>27694000</v>
      </c>
      <c r="R8" s="23">
        <v>140372000</v>
      </c>
      <c r="S8" s="22">
        <v>46687000</v>
      </c>
      <c r="T8" s="22">
        <v>55741000</v>
      </c>
      <c r="U8" s="22">
        <v>42459000</v>
      </c>
      <c r="V8" s="22">
        <f>W8-U8-T8-S8</f>
        <v>32336000</v>
      </c>
      <c r="W8" s="23">
        <v>177223000</v>
      </c>
      <c r="X8" s="22">
        <v>77378000</v>
      </c>
      <c r="Y8" s="22">
        <v>49050000</v>
      </c>
      <c r="Z8" s="22">
        <v>37515000</v>
      </c>
      <c r="AA8" s="22">
        <v>35838000</v>
      </c>
      <c r="AB8" s="23">
        <f t="shared" ref="AB8:AB11" si="0">SUM(X8:AA8)</f>
        <v>199781000</v>
      </c>
      <c r="AC8" s="22">
        <v>58294000</v>
      </c>
      <c r="AD8" s="22">
        <v>34952000</v>
      </c>
      <c r="AE8" s="22">
        <v>30009061.32</v>
      </c>
    </row>
    <row r="9" spans="1:32" x14ac:dyDescent="0.25">
      <c r="A9" s="8"/>
      <c r="B9" s="20" t="s">
        <v>14</v>
      </c>
      <c r="C9" s="24"/>
      <c r="D9" s="22">
        <v>16757000</v>
      </c>
      <c r="E9" s="22">
        <v>17657000</v>
      </c>
      <c r="F9" s="22">
        <v>17276000</v>
      </c>
      <c r="G9" s="22">
        <v>19961000</v>
      </c>
      <c r="H9" s="23">
        <v>71651000</v>
      </c>
      <c r="I9" s="22">
        <v>16404000</v>
      </c>
      <c r="J9" s="22">
        <v>17374000</v>
      </c>
      <c r="K9" s="22">
        <v>15681000</v>
      </c>
      <c r="L9" s="22">
        <v>20113000</v>
      </c>
      <c r="M9" s="23">
        <v>69572000</v>
      </c>
      <c r="N9" s="22">
        <v>15436000</v>
      </c>
      <c r="O9" s="22">
        <v>17270000</v>
      </c>
      <c r="P9" s="22">
        <v>16952000</v>
      </c>
      <c r="Q9" s="22">
        <v>20776000</v>
      </c>
      <c r="R9" s="23">
        <v>70434000</v>
      </c>
      <c r="S9" s="22">
        <v>14747000</v>
      </c>
      <c r="T9" s="22">
        <v>17643000</v>
      </c>
      <c r="U9" s="22">
        <v>16580000</v>
      </c>
      <c r="V9" s="22">
        <f>W9-U9-T9-S9</f>
        <v>19530000</v>
      </c>
      <c r="W9" s="23">
        <v>68500000</v>
      </c>
      <c r="X9" s="22">
        <v>17773000</v>
      </c>
      <c r="Y9" s="22">
        <v>18191000</v>
      </c>
      <c r="Z9" s="22">
        <v>17028000</v>
      </c>
      <c r="AA9" s="22">
        <v>20593000</v>
      </c>
      <c r="AB9" s="23">
        <f t="shared" si="0"/>
        <v>73585000</v>
      </c>
      <c r="AC9" s="22">
        <v>17089000</v>
      </c>
      <c r="AD9" s="22">
        <v>18548000</v>
      </c>
      <c r="AE9" s="22">
        <v>16718000</v>
      </c>
    </row>
    <row r="10" spans="1:32" x14ac:dyDescent="0.25">
      <c r="A10" s="8"/>
      <c r="B10" s="20" t="s">
        <v>15</v>
      </c>
      <c r="C10" s="25"/>
      <c r="D10" s="22">
        <v>2358000</v>
      </c>
      <c r="E10" s="22">
        <v>2306000</v>
      </c>
      <c r="F10" s="22">
        <v>2066000</v>
      </c>
      <c r="G10" s="22">
        <v>2100000</v>
      </c>
      <c r="H10" s="23">
        <v>8830000</v>
      </c>
      <c r="I10" s="22">
        <v>2411000</v>
      </c>
      <c r="J10" s="22">
        <v>2129000</v>
      </c>
      <c r="K10" s="22">
        <v>2021000</v>
      </c>
      <c r="L10" s="22">
        <v>1862000</v>
      </c>
      <c r="M10" s="23">
        <v>8423000</v>
      </c>
      <c r="N10" s="22">
        <v>483000</v>
      </c>
      <c r="O10" s="22">
        <v>1092000</v>
      </c>
      <c r="P10" s="22">
        <v>939000</v>
      </c>
      <c r="Q10" s="22">
        <v>1169000</v>
      </c>
      <c r="R10" s="23">
        <v>3683000</v>
      </c>
      <c r="S10" s="22">
        <v>366000</v>
      </c>
      <c r="T10" s="22">
        <v>470000</v>
      </c>
      <c r="U10" s="22">
        <v>386000</v>
      </c>
      <c r="V10" s="22">
        <f>W10-U10-T10-S10</f>
        <v>1081000</v>
      </c>
      <c r="W10" s="23">
        <v>2303000</v>
      </c>
      <c r="X10" s="22">
        <v>414000</v>
      </c>
      <c r="Y10" s="22">
        <v>431000</v>
      </c>
      <c r="Z10" s="22">
        <v>394000</v>
      </c>
      <c r="AA10" s="22">
        <v>397000</v>
      </c>
      <c r="AB10" s="23">
        <f t="shared" si="0"/>
        <v>1636000</v>
      </c>
      <c r="AC10" s="120">
        <v>427000</v>
      </c>
      <c r="AD10" s="120">
        <v>314000</v>
      </c>
      <c r="AE10" s="120">
        <v>223000</v>
      </c>
    </row>
    <row r="11" spans="1:32" ht="15.75" thickBot="1" x14ac:dyDescent="0.3">
      <c r="A11" s="8"/>
      <c r="B11" s="26" t="s">
        <v>20</v>
      </c>
      <c r="C11" s="27"/>
      <c r="D11" s="98">
        <v>490899000</v>
      </c>
      <c r="E11" s="98">
        <v>457025000</v>
      </c>
      <c r="F11" s="98">
        <v>442763000</v>
      </c>
      <c r="G11" s="98">
        <v>444735000</v>
      </c>
      <c r="H11" s="42">
        <v>1835422000</v>
      </c>
      <c r="I11" s="98">
        <v>482041000</v>
      </c>
      <c r="J11" s="98">
        <v>455720000</v>
      </c>
      <c r="K11" s="98">
        <v>451320000</v>
      </c>
      <c r="L11" s="98">
        <v>466631000</v>
      </c>
      <c r="M11" s="42">
        <v>1855712000</v>
      </c>
      <c r="N11" s="98">
        <v>474057000</v>
      </c>
      <c r="O11" s="98">
        <v>451096000</v>
      </c>
      <c r="P11" s="98">
        <v>436497000</v>
      </c>
      <c r="Q11" s="98">
        <v>438836000</v>
      </c>
      <c r="R11" s="42">
        <v>1800486000</v>
      </c>
      <c r="S11" s="98">
        <v>454965000</v>
      </c>
      <c r="T11" s="98">
        <v>459192000</v>
      </c>
      <c r="U11" s="98">
        <v>474223000</v>
      </c>
      <c r="V11" s="98">
        <f>W11-U11-T11-S11</f>
        <v>464261000</v>
      </c>
      <c r="W11" s="42">
        <v>1852641000</v>
      </c>
      <c r="X11" s="98">
        <v>524866000</v>
      </c>
      <c r="Y11" s="98">
        <v>505834000</v>
      </c>
      <c r="Z11" s="98">
        <v>500986000</v>
      </c>
      <c r="AA11" s="98">
        <f t="shared" ref="AA11" si="1">SUM(AA7:AA10)</f>
        <v>506163000</v>
      </c>
      <c r="AB11" s="42">
        <f t="shared" si="0"/>
        <v>2037849000</v>
      </c>
      <c r="AC11" s="119">
        <f>SUM(AC7:AC10)</f>
        <v>518505000</v>
      </c>
      <c r="AD11" s="119">
        <f>SUM(AD7:AD10)</f>
        <v>490185000</v>
      </c>
      <c r="AE11" s="119">
        <v>473755061.31999999</v>
      </c>
    </row>
    <row r="12" spans="1:32" ht="15" customHeight="1" x14ac:dyDescent="0.25">
      <c r="A12" s="8"/>
      <c r="B12" s="15" t="s">
        <v>21</v>
      </c>
      <c r="C12" s="8"/>
      <c r="D12" s="99">
        <v>-0.15994455520094464</v>
      </c>
      <c r="E12" s="99">
        <v>-0.13868325631534906</v>
      </c>
      <c r="F12" s="99">
        <v>-8.1032782972364381E-2</v>
      </c>
      <c r="G12" s="99">
        <v>-5.9643551125611372E-2</v>
      </c>
      <c r="H12" s="44">
        <v>-0.11320489437002501</v>
      </c>
      <c r="I12" s="99">
        <v>-1.8044444987665442E-2</v>
      </c>
      <c r="J12" s="99">
        <v>-2.8554236639133368E-3</v>
      </c>
      <c r="K12" s="99">
        <v>1.9326366475970216E-2</v>
      </c>
      <c r="L12" s="99">
        <v>4.9231454166067057E-2</v>
      </c>
      <c r="M12" s="44">
        <v>1.1054127577130722E-2</v>
      </c>
      <c r="N12" s="99">
        <v>-1.6562906474760445E-2</v>
      </c>
      <c r="O12" s="99">
        <v>-1.0146581234091109E-2</v>
      </c>
      <c r="P12" s="99">
        <v>-3.3000000000000002E-2</v>
      </c>
      <c r="Q12" s="99">
        <v>-5.9565266773960582E-2</v>
      </c>
      <c r="R12" s="44">
        <v>-2.976000586297874E-2</v>
      </c>
      <c r="S12" s="99">
        <v>-0.04</v>
      </c>
      <c r="T12" s="99">
        <v>1.7999999999999999E-2</v>
      </c>
      <c r="U12" s="99">
        <v>8.6429001802990624E-2</v>
      </c>
      <c r="V12" s="99">
        <v>5.8000000000000003E-2</v>
      </c>
      <c r="W12" s="44">
        <v>2.9000000000000001E-2</v>
      </c>
      <c r="X12" s="99">
        <f>(X11-S11)/S11</f>
        <v>0.15364038992010373</v>
      </c>
      <c r="Y12" s="99">
        <v>0.10157406923465566</v>
      </c>
      <c r="Z12" s="99">
        <v>5.6000000000000001E-2</v>
      </c>
      <c r="AA12" s="99">
        <v>0.09</v>
      </c>
      <c r="AB12" s="44">
        <v>0.1</v>
      </c>
      <c r="AC12" s="99">
        <f>(AC11-X11)/X11</f>
        <v>-1.2119283779097902E-2</v>
      </c>
      <c r="AD12" s="99">
        <f>(AD11-Y11)/Y11</f>
        <v>-3.0937026771628635E-2</v>
      </c>
      <c r="AE12" s="99">
        <v>-5.4354689911494572E-2</v>
      </c>
    </row>
    <row r="13" spans="1:32" ht="18" customHeight="1" x14ac:dyDescent="0.25">
      <c r="A13" s="8"/>
      <c r="B13" s="26" t="s">
        <v>62</v>
      </c>
      <c r="C13" s="35"/>
      <c r="D13" s="36">
        <v>-0.1246</v>
      </c>
      <c r="E13" s="36">
        <v>-0.1023</v>
      </c>
      <c r="F13" s="36">
        <v>-5.0900000000000001E-2</v>
      </c>
      <c r="G13" s="36">
        <v>-3.5999999999999997E-2</v>
      </c>
      <c r="H13" s="37">
        <v>-8.0399999999999999E-2</v>
      </c>
      <c r="I13" s="36">
        <v>3.0000000000000001E-3</v>
      </c>
      <c r="J13" s="36">
        <v>3.5400000000000001E-2</v>
      </c>
      <c r="K13" s="36">
        <v>5.2200000000000003E-2</v>
      </c>
      <c r="L13" s="36">
        <v>8.77E-2</v>
      </c>
      <c r="M13" s="37">
        <v>4.3700000000000003E-2</v>
      </c>
      <c r="N13" s="36">
        <v>5.7700000000000001E-2</v>
      </c>
      <c r="O13" s="36">
        <v>5.62E-2</v>
      </c>
      <c r="P13" s="36">
        <v>3.6999999999999998E-2</v>
      </c>
      <c r="Q13" s="36">
        <v>1.17E-2</v>
      </c>
      <c r="R13" s="37">
        <v>4.0500000000000001E-2</v>
      </c>
      <c r="S13" s="36">
        <v>1.66E-2</v>
      </c>
      <c r="T13" s="36">
        <v>7.8E-2</v>
      </c>
      <c r="U13" s="36">
        <v>0.12909999999999999</v>
      </c>
      <c r="V13" s="36">
        <v>0.13700000000000001</v>
      </c>
      <c r="W13" s="37">
        <v>0.09</v>
      </c>
      <c r="X13" s="36">
        <v>0.23400000000000001</v>
      </c>
      <c r="Y13" s="36">
        <v>0.16550000000000001</v>
      </c>
      <c r="Z13" s="36">
        <v>0.123</v>
      </c>
      <c r="AA13" s="36">
        <v>0.104</v>
      </c>
      <c r="AB13" s="37">
        <v>0.154</v>
      </c>
      <c r="AC13" s="36">
        <v>-1.0999999999999999E-2</v>
      </c>
      <c r="AD13" s="36">
        <v>-3.3000000000000002E-2</v>
      </c>
      <c r="AE13" s="36">
        <v>-5.2999999999999999E-2</v>
      </c>
    </row>
    <row r="14" spans="1:32" ht="18.600000000000001" customHeight="1" x14ac:dyDescent="0.25">
      <c r="A14" s="8"/>
      <c r="B14" s="15" t="s">
        <v>22</v>
      </c>
      <c r="C14" s="40"/>
      <c r="D14" s="8"/>
      <c r="E14" s="8"/>
      <c r="F14" s="8"/>
      <c r="G14" s="8"/>
      <c r="H14" s="46"/>
      <c r="I14" s="8"/>
      <c r="J14" s="8"/>
      <c r="K14" s="8"/>
      <c r="L14" s="8" t="s">
        <v>61</v>
      </c>
      <c r="M14" s="46" t="s">
        <v>61</v>
      </c>
      <c r="N14" s="8"/>
      <c r="O14" s="8"/>
      <c r="P14" s="8"/>
      <c r="Q14" s="8"/>
      <c r="R14" s="46"/>
      <c r="S14" s="8"/>
      <c r="T14" s="8"/>
      <c r="U14" s="8"/>
      <c r="V14" s="8"/>
      <c r="W14" s="46"/>
      <c r="X14" s="8"/>
      <c r="Y14" s="8"/>
      <c r="Z14" s="8"/>
      <c r="AA14" s="8"/>
      <c r="AB14" s="46"/>
      <c r="AC14" s="8"/>
      <c r="AD14" s="8"/>
      <c r="AE14" s="8"/>
    </row>
    <row r="15" spans="1:32" x14ac:dyDescent="0.25">
      <c r="A15" s="8"/>
      <c r="B15" s="20" t="s">
        <v>23</v>
      </c>
      <c r="C15" s="24"/>
      <c r="D15" s="22">
        <v>106850000</v>
      </c>
      <c r="E15" s="22">
        <v>106084000</v>
      </c>
      <c r="F15" s="22">
        <v>103738000</v>
      </c>
      <c r="G15" s="22">
        <v>103259000</v>
      </c>
      <c r="H15" s="47">
        <v>419931000</v>
      </c>
      <c r="I15" s="22">
        <v>104735000</v>
      </c>
      <c r="J15" s="22">
        <v>103273000</v>
      </c>
      <c r="K15" s="22">
        <v>101166000</v>
      </c>
      <c r="L15" s="22">
        <v>102634000</v>
      </c>
      <c r="M15" s="47">
        <v>411808000</v>
      </c>
      <c r="N15" s="22">
        <v>100509000</v>
      </c>
      <c r="O15" s="22">
        <v>99136000</v>
      </c>
      <c r="P15" s="22">
        <v>96410000</v>
      </c>
      <c r="Q15" s="22">
        <v>95829000</v>
      </c>
      <c r="R15" s="47">
        <v>391884000</v>
      </c>
      <c r="S15" s="22">
        <v>96609000</v>
      </c>
      <c r="T15" s="22">
        <v>95072000</v>
      </c>
      <c r="U15" s="22">
        <v>101515000</v>
      </c>
      <c r="V15" s="22">
        <f t="shared" ref="V15:V19" si="2">W15-U15-T15-S15</f>
        <v>100666000</v>
      </c>
      <c r="W15" s="47">
        <v>393862000</v>
      </c>
      <c r="X15" s="22">
        <v>106533000</v>
      </c>
      <c r="Y15" s="22">
        <v>108608000</v>
      </c>
      <c r="Z15" s="22">
        <v>110477000</v>
      </c>
      <c r="AA15" s="22">
        <v>111480000</v>
      </c>
      <c r="AB15" s="47">
        <f t="shared" ref="AB15:AB19" si="3">SUM(X15:AA15)</f>
        <v>437098000</v>
      </c>
      <c r="AC15" s="22">
        <v>110589000</v>
      </c>
      <c r="AD15" s="22">
        <v>110004000</v>
      </c>
      <c r="AE15" s="22">
        <v>108125000</v>
      </c>
    </row>
    <row r="16" spans="1:32" x14ac:dyDescent="0.25">
      <c r="A16" s="8"/>
      <c r="B16" s="20" t="s">
        <v>24</v>
      </c>
      <c r="C16" s="24"/>
      <c r="D16" s="22">
        <v>40911000</v>
      </c>
      <c r="E16" s="22">
        <v>27227000</v>
      </c>
      <c r="F16" s="22">
        <v>24039000</v>
      </c>
      <c r="G16" s="22">
        <v>23480000</v>
      </c>
      <c r="H16" s="47">
        <v>115657000</v>
      </c>
      <c r="I16" s="22">
        <v>35823000</v>
      </c>
      <c r="J16" s="22">
        <v>21611000</v>
      </c>
      <c r="K16" s="22">
        <v>31139000</v>
      </c>
      <c r="L16" s="22">
        <v>32196000</v>
      </c>
      <c r="M16" s="47">
        <v>120769000</v>
      </c>
      <c r="N16" s="22">
        <v>43984000</v>
      </c>
      <c r="O16" s="22">
        <v>32407000</v>
      </c>
      <c r="P16" s="22">
        <v>27679000</v>
      </c>
      <c r="Q16" s="22">
        <v>25996000</v>
      </c>
      <c r="R16" s="47">
        <v>130066000</v>
      </c>
      <c r="S16" s="22">
        <v>35773000</v>
      </c>
      <c r="T16" s="22">
        <v>41981000</v>
      </c>
      <c r="U16" s="22">
        <v>34253000</v>
      </c>
      <c r="V16" s="22">
        <f t="shared" si="2"/>
        <v>27966000</v>
      </c>
      <c r="W16" s="47">
        <v>139973000</v>
      </c>
      <c r="X16" s="22">
        <v>53123000</v>
      </c>
      <c r="Y16" s="22">
        <v>33805000</v>
      </c>
      <c r="Z16" s="22">
        <v>27628000</v>
      </c>
      <c r="AA16" s="22">
        <v>27022000</v>
      </c>
      <c r="AB16" s="47">
        <f t="shared" si="3"/>
        <v>141578000</v>
      </c>
      <c r="AC16" s="22">
        <v>38615000</v>
      </c>
      <c r="AD16" s="22">
        <v>25695000</v>
      </c>
      <c r="AE16" s="22">
        <v>24706000</v>
      </c>
    </row>
    <row r="17" spans="1:32" x14ac:dyDescent="0.25">
      <c r="A17" s="8"/>
      <c r="B17" s="20" t="s">
        <v>25</v>
      </c>
      <c r="C17" s="39"/>
      <c r="D17" s="22">
        <v>5184000</v>
      </c>
      <c r="E17" s="22">
        <v>5708000</v>
      </c>
      <c r="F17" s="22">
        <v>5207000</v>
      </c>
      <c r="G17" s="22">
        <v>7523000</v>
      </c>
      <c r="H17" s="47">
        <v>23622000</v>
      </c>
      <c r="I17" s="22">
        <v>5242000</v>
      </c>
      <c r="J17" s="22">
        <v>5617000</v>
      </c>
      <c r="K17" s="22">
        <v>5244000</v>
      </c>
      <c r="L17" s="22">
        <v>7223000</v>
      </c>
      <c r="M17" s="47">
        <v>23326000</v>
      </c>
      <c r="N17" s="22">
        <v>4924000</v>
      </c>
      <c r="O17" s="22">
        <v>5682000</v>
      </c>
      <c r="P17" s="22">
        <v>5527000</v>
      </c>
      <c r="Q17" s="22">
        <v>7250000</v>
      </c>
      <c r="R17" s="47">
        <v>23383000</v>
      </c>
      <c r="S17" s="22">
        <v>5025000</v>
      </c>
      <c r="T17" s="22">
        <v>6092000</v>
      </c>
      <c r="U17" s="22">
        <v>5713000</v>
      </c>
      <c r="V17" s="22">
        <f t="shared" si="2"/>
        <v>7281000</v>
      </c>
      <c r="W17" s="47">
        <v>24111000</v>
      </c>
      <c r="X17" s="22">
        <v>6041000</v>
      </c>
      <c r="Y17" s="22">
        <v>6234000</v>
      </c>
      <c r="Z17" s="22">
        <v>6291000</v>
      </c>
      <c r="AA17" s="22">
        <v>7071000</v>
      </c>
      <c r="AB17" s="47">
        <f t="shared" si="3"/>
        <v>25637000</v>
      </c>
      <c r="AC17" s="22">
        <v>5921000</v>
      </c>
      <c r="AD17" s="22">
        <v>6426446.7299999995</v>
      </c>
      <c r="AE17" s="22">
        <v>6032000</v>
      </c>
    </row>
    <row r="18" spans="1:32" x14ac:dyDescent="0.25">
      <c r="A18" s="8"/>
      <c r="B18" s="20" t="s">
        <v>26</v>
      </c>
      <c r="C18" s="39"/>
      <c r="D18" s="22">
        <v>0</v>
      </c>
      <c r="E18" s="22">
        <v>0</v>
      </c>
      <c r="F18" s="22">
        <v>0</v>
      </c>
      <c r="G18" s="22">
        <v>0</v>
      </c>
      <c r="H18" s="47">
        <v>0</v>
      </c>
      <c r="I18" s="22">
        <v>0</v>
      </c>
      <c r="J18" s="22">
        <v>0</v>
      </c>
      <c r="K18" s="22">
        <v>0</v>
      </c>
      <c r="L18" s="22">
        <v>0</v>
      </c>
      <c r="M18" s="47">
        <v>0</v>
      </c>
      <c r="N18" s="22">
        <v>0</v>
      </c>
      <c r="O18" s="22">
        <v>0</v>
      </c>
      <c r="P18" s="22">
        <v>0</v>
      </c>
      <c r="Q18" s="22">
        <v>0</v>
      </c>
      <c r="R18" s="47">
        <v>0</v>
      </c>
      <c r="S18" s="22">
        <v>0</v>
      </c>
      <c r="T18" s="22">
        <v>0</v>
      </c>
      <c r="U18" s="22">
        <v>0</v>
      </c>
      <c r="V18" s="22">
        <f t="shared" si="2"/>
        <v>0</v>
      </c>
      <c r="W18" s="47">
        <v>0</v>
      </c>
      <c r="X18" s="22">
        <v>0</v>
      </c>
      <c r="Y18" s="22">
        <v>0</v>
      </c>
      <c r="Z18" s="22">
        <v>0</v>
      </c>
      <c r="AA18" s="22">
        <v>0</v>
      </c>
      <c r="AB18" s="47">
        <f t="shared" si="3"/>
        <v>0</v>
      </c>
      <c r="AC18" s="22">
        <v>0</v>
      </c>
      <c r="AD18" s="22">
        <v>0</v>
      </c>
      <c r="AE18" s="22">
        <v>0</v>
      </c>
    </row>
    <row r="19" spans="1:32" ht="15.75" thickBot="1" x14ac:dyDescent="0.3">
      <c r="A19" s="8"/>
      <c r="B19" s="48" t="s">
        <v>27</v>
      </c>
      <c r="C19" s="49"/>
      <c r="D19" s="50">
        <v>337954000</v>
      </c>
      <c r="E19" s="50">
        <v>318006000</v>
      </c>
      <c r="F19" s="50">
        <v>309779000</v>
      </c>
      <c r="G19" s="50">
        <v>310473000</v>
      </c>
      <c r="H19" s="51">
        <v>1276212000</v>
      </c>
      <c r="I19" s="50">
        <v>336241000</v>
      </c>
      <c r="J19" s="50">
        <v>325219000</v>
      </c>
      <c r="K19" s="50">
        <v>313771000</v>
      </c>
      <c r="L19" s="50">
        <v>324578000</v>
      </c>
      <c r="M19" s="51">
        <v>1299809000</v>
      </c>
      <c r="N19" s="50">
        <v>324640000</v>
      </c>
      <c r="O19" s="50">
        <v>313871000</v>
      </c>
      <c r="P19" s="50">
        <v>306881000</v>
      </c>
      <c r="Q19" s="50">
        <v>309761000</v>
      </c>
      <c r="R19" s="51">
        <v>1255153000</v>
      </c>
      <c r="S19" s="50">
        <v>317558000</v>
      </c>
      <c r="T19" s="50">
        <v>316047000</v>
      </c>
      <c r="U19" s="50">
        <v>332742000</v>
      </c>
      <c r="V19" s="50">
        <f t="shared" si="2"/>
        <v>328348000</v>
      </c>
      <c r="W19" s="51">
        <v>1294695000</v>
      </c>
      <c r="X19" s="50">
        <v>359169000</v>
      </c>
      <c r="Y19" s="50">
        <v>357187000</v>
      </c>
      <c r="Z19" s="50">
        <v>356590000</v>
      </c>
      <c r="AA19" s="50">
        <f t="shared" ref="AA19:AC19" si="4">AA11-AA15-AA16-AA17-AA18</f>
        <v>360590000</v>
      </c>
      <c r="AB19" s="51">
        <f t="shared" si="3"/>
        <v>1433536000</v>
      </c>
      <c r="AC19" s="121">
        <f t="shared" si="4"/>
        <v>363380000</v>
      </c>
      <c r="AD19" s="121">
        <f>AD11-AD15-AD16-AD17-AD18</f>
        <v>348059553.26999998</v>
      </c>
      <c r="AE19" s="121">
        <v>334892000</v>
      </c>
    </row>
    <row r="20" spans="1:32" ht="16.899999999999999" customHeight="1" x14ac:dyDescent="0.25">
      <c r="A20" s="8"/>
      <c r="B20" s="53" t="s">
        <v>28</v>
      </c>
      <c r="C20" s="54"/>
      <c r="D20" s="55">
        <v>0.68843896606022825</v>
      </c>
      <c r="E20" s="55">
        <v>0.69581751545320281</v>
      </c>
      <c r="F20" s="55">
        <v>0.69964969972649027</v>
      </c>
      <c r="G20" s="55">
        <v>0.69810786198522712</v>
      </c>
      <c r="H20" s="56">
        <v>0.69532347329388011</v>
      </c>
      <c r="I20" s="55">
        <v>0.69753610170089264</v>
      </c>
      <c r="J20" s="55">
        <v>0.71363776002808743</v>
      </c>
      <c r="K20" s="55">
        <v>0.69522954887884425</v>
      </c>
      <c r="L20" s="55">
        <v>0.69557744770493168</v>
      </c>
      <c r="M20" s="56">
        <v>0.70043681347105591</v>
      </c>
      <c r="N20" s="55">
        <v>0.68481216393809186</v>
      </c>
      <c r="O20" s="55">
        <v>0.69579646017699115</v>
      </c>
      <c r="P20" s="55">
        <v>0.70299999999999996</v>
      </c>
      <c r="Q20" s="55">
        <v>0.70586961871861009</v>
      </c>
      <c r="R20" s="56">
        <v>0.69711900009219729</v>
      </c>
      <c r="S20" s="55">
        <v>0.69799999999999995</v>
      </c>
      <c r="T20" s="55">
        <v>0.68799999999999994</v>
      </c>
      <c r="U20" s="55">
        <v>0.70165723720696804</v>
      </c>
      <c r="V20" s="55">
        <v>0.70699999999999996</v>
      </c>
      <c r="W20" s="56">
        <f>W19/W11</f>
        <v>0.69883749738886269</v>
      </c>
      <c r="X20" s="55">
        <f>X19/X11</f>
        <v>0.68430608955428629</v>
      </c>
      <c r="Y20" s="55">
        <v>0.70613481893269336</v>
      </c>
      <c r="Z20" s="55">
        <v>0.71199999999999997</v>
      </c>
      <c r="AA20" s="55">
        <v>0.71199999999999997</v>
      </c>
      <c r="AB20" s="56">
        <v>0.70299999999999996</v>
      </c>
      <c r="AC20" s="55">
        <f>AC19/AC11</f>
        <v>0.70082255715952591</v>
      </c>
      <c r="AD20" s="55">
        <f>AD19/AD11</f>
        <v>0.71005753597111287</v>
      </c>
      <c r="AE20" s="55">
        <v>0.70688228720325519</v>
      </c>
      <c r="AF20" s="124"/>
    </row>
    <row r="21" spans="1:32" ht="19.149999999999999" customHeight="1" x14ac:dyDescent="0.25">
      <c r="A21" s="8"/>
      <c r="B21" s="48" t="s">
        <v>29</v>
      </c>
      <c r="C21" s="49"/>
      <c r="D21" s="48"/>
      <c r="E21" s="48"/>
      <c r="F21" s="48"/>
      <c r="G21" s="48"/>
      <c r="H21" s="57"/>
      <c r="I21" s="48"/>
      <c r="J21" s="48"/>
      <c r="K21" s="48"/>
      <c r="L21" s="48"/>
      <c r="M21" s="57"/>
      <c r="N21" s="48"/>
      <c r="O21" s="48"/>
      <c r="P21" s="48"/>
      <c r="Q21" s="48"/>
      <c r="R21" s="57"/>
      <c r="S21" s="48"/>
      <c r="T21" s="48"/>
      <c r="U21" s="48"/>
      <c r="V21" s="48"/>
      <c r="W21" s="57"/>
      <c r="X21" s="48"/>
      <c r="Y21" s="48"/>
      <c r="Z21" s="48"/>
      <c r="AA21" s="48"/>
      <c r="AB21" s="57"/>
      <c r="AC21" s="48"/>
      <c r="AD21" s="48"/>
      <c r="AE21" s="48"/>
    </row>
    <row r="22" spans="1:32" x14ac:dyDescent="0.25">
      <c r="A22" s="8"/>
      <c r="B22" s="20" t="s">
        <v>30</v>
      </c>
      <c r="C22" s="24"/>
      <c r="D22" s="22">
        <v>147491000</v>
      </c>
      <c r="E22" s="22">
        <v>138790000</v>
      </c>
      <c r="F22" s="22">
        <v>141496000</v>
      </c>
      <c r="G22" s="22">
        <v>145254000</v>
      </c>
      <c r="H22" s="47">
        <v>573031000</v>
      </c>
      <c r="I22" s="22">
        <v>145083000</v>
      </c>
      <c r="J22" s="22">
        <v>132981250</v>
      </c>
      <c r="K22" s="22">
        <v>136598000</v>
      </c>
      <c r="L22" s="22">
        <v>138563000</v>
      </c>
      <c r="M22" s="47">
        <v>553226000</v>
      </c>
      <c r="N22" s="22">
        <v>128105000</v>
      </c>
      <c r="O22" s="22">
        <v>120785000</v>
      </c>
      <c r="P22" s="22">
        <v>126105000</v>
      </c>
      <c r="Q22" s="22">
        <v>124579000</v>
      </c>
      <c r="R22" s="47">
        <v>499574000</v>
      </c>
      <c r="S22" s="22">
        <v>121716000</v>
      </c>
      <c r="T22" s="22">
        <v>110700000</v>
      </c>
      <c r="U22" s="22">
        <v>121936000</v>
      </c>
      <c r="V22" s="22">
        <f t="shared" ref="V22:V25" si="5">W22-U22-T22-S22</f>
        <v>116292000</v>
      </c>
      <c r="W22" s="47">
        <v>470644000</v>
      </c>
      <c r="X22" s="22">
        <v>121509000</v>
      </c>
      <c r="Y22" s="22">
        <v>121530000</v>
      </c>
      <c r="Z22" s="22">
        <v>127604000</v>
      </c>
      <c r="AA22" s="22">
        <v>129253000</v>
      </c>
      <c r="AB22" s="47">
        <f t="shared" ref="AB22:AB26" si="6">SUM(X22:AA22)</f>
        <v>499896000</v>
      </c>
      <c r="AC22" s="22">
        <v>130005000</v>
      </c>
      <c r="AD22" s="22">
        <v>129219837.67999999</v>
      </c>
      <c r="AE22" s="22">
        <v>125883000</v>
      </c>
    </row>
    <row r="23" spans="1:32" x14ac:dyDescent="0.25">
      <c r="A23" s="8"/>
      <c r="B23" s="20" t="s">
        <v>31</v>
      </c>
      <c r="C23" s="24"/>
      <c r="D23" s="22">
        <v>154400000</v>
      </c>
      <c r="E23" s="22">
        <v>135354000</v>
      </c>
      <c r="F23" s="22">
        <v>130925000</v>
      </c>
      <c r="G23" s="22">
        <v>144478000</v>
      </c>
      <c r="H23" s="47">
        <v>565157000</v>
      </c>
      <c r="I23" s="22">
        <v>147151000</v>
      </c>
      <c r="J23" s="22">
        <v>128567000</v>
      </c>
      <c r="K23" s="22">
        <v>121130000</v>
      </c>
      <c r="L23" s="22">
        <v>130770000</v>
      </c>
      <c r="M23" s="47">
        <v>527618000</v>
      </c>
      <c r="N23" s="22">
        <v>126707000</v>
      </c>
      <c r="O23" s="22">
        <v>116946000</v>
      </c>
      <c r="P23" s="22">
        <v>118350000</v>
      </c>
      <c r="Q23" s="22">
        <v>110503000</v>
      </c>
      <c r="R23" s="47">
        <v>472506000</v>
      </c>
      <c r="S23" s="22">
        <v>118739000</v>
      </c>
      <c r="T23" s="22">
        <v>111047000</v>
      </c>
      <c r="U23" s="22">
        <v>102960000</v>
      </c>
      <c r="V23" s="22">
        <v>106652000</v>
      </c>
      <c r="W23" s="47">
        <v>439399000</v>
      </c>
      <c r="X23" s="22">
        <v>108791000</v>
      </c>
      <c r="Y23" s="22">
        <v>101629000</v>
      </c>
      <c r="Z23" s="22">
        <v>111004000</v>
      </c>
      <c r="AA23" s="22">
        <v>131086000</v>
      </c>
      <c r="AB23" s="47">
        <f t="shared" si="6"/>
        <v>452510000</v>
      </c>
      <c r="AC23" s="22">
        <v>124011000</v>
      </c>
      <c r="AD23" s="22">
        <v>112656775.25999999</v>
      </c>
      <c r="AE23" s="22">
        <v>129878000</v>
      </c>
    </row>
    <row r="24" spans="1:32" x14ac:dyDescent="0.25">
      <c r="A24" s="8"/>
      <c r="B24" s="15" t="s">
        <v>32</v>
      </c>
      <c r="C24" s="24"/>
      <c r="D24" s="22">
        <v>2959000</v>
      </c>
      <c r="E24" s="22">
        <v>3816000</v>
      </c>
      <c r="F24" s="22">
        <v>4883000</v>
      </c>
      <c r="G24" s="22">
        <v>1858000</v>
      </c>
      <c r="H24" s="47">
        <v>13517000</v>
      </c>
      <c r="I24" s="22">
        <v>3975000</v>
      </c>
      <c r="J24" s="22">
        <v>2515000</v>
      </c>
      <c r="K24" s="22">
        <v>4568000</v>
      </c>
      <c r="L24" s="22">
        <v>2889000</v>
      </c>
      <c r="M24" s="47">
        <v>13946000</v>
      </c>
      <c r="N24" s="22">
        <v>3246000</v>
      </c>
      <c r="O24" s="22">
        <v>3116000</v>
      </c>
      <c r="P24" s="22">
        <v>3141000</v>
      </c>
      <c r="Q24" s="22">
        <v>2568000</v>
      </c>
      <c r="R24" s="47">
        <v>12071000</v>
      </c>
      <c r="S24" s="22">
        <v>2581000</v>
      </c>
      <c r="T24" s="22">
        <v>2504000</v>
      </c>
      <c r="U24" s="22">
        <v>2285000</v>
      </c>
      <c r="V24" s="22">
        <f t="shared" si="5"/>
        <v>2487000</v>
      </c>
      <c r="W24" s="47">
        <v>9857000</v>
      </c>
      <c r="X24" s="22">
        <v>2670000</v>
      </c>
      <c r="Y24" s="22">
        <v>2978000</v>
      </c>
      <c r="Z24" s="22">
        <v>3399000</v>
      </c>
      <c r="AA24" s="22">
        <v>2479000</v>
      </c>
      <c r="AB24" s="47">
        <f t="shared" si="6"/>
        <v>11526000</v>
      </c>
      <c r="AC24" s="22">
        <v>1946000</v>
      </c>
      <c r="AD24" s="22">
        <v>2127000</v>
      </c>
      <c r="AE24" s="22">
        <v>2146000</v>
      </c>
    </row>
    <row r="25" spans="1:32" x14ac:dyDescent="0.25">
      <c r="A25" s="8"/>
      <c r="B25" s="58" t="s">
        <v>33</v>
      </c>
      <c r="C25" s="59"/>
      <c r="D25" s="22">
        <v>8108000</v>
      </c>
      <c r="E25" s="22">
        <v>7882000</v>
      </c>
      <c r="F25" s="22">
        <v>7725000</v>
      </c>
      <c r="G25" s="22">
        <v>7355000</v>
      </c>
      <c r="H25" s="47">
        <v>31070000</v>
      </c>
      <c r="I25" s="22">
        <v>6826000</v>
      </c>
      <c r="J25" s="22">
        <v>6440000</v>
      </c>
      <c r="K25" s="22">
        <v>6216000</v>
      </c>
      <c r="L25" s="22">
        <v>6084000</v>
      </c>
      <c r="M25" s="47">
        <v>25566000</v>
      </c>
      <c r="N25" s="22">
        <v>5472000</v>
      </c>
      <c r="O25" s="22">
        <v>5110000</v>
      </c>
      <c r="P25" s="22">
        <v>5037000</v>
      </c>
      <c r="Q25" s="22">
        <v>5203000</v>
      </c>
      <c r="R25" s="47">
        <v>20822000</v>
      </c>
      <c r="S25" s="22">
        <v>4957000</v>
      </c>
      <c r="T25" s="22">
        <v>4876000</v>
      </c>
      <c r="U25" s="22">
        <v>4926000</v>
      </c>
      <c r="V25" s="22">
        <f t="shared" si="5"/>
        <v>5153000</v>
      </c>
      <c r="W25" s="47">
        <v>19912000</v>
      </c>
      <c r="X25" s="22">
        <v>4577000</v>
      </c>
      <c r="Y25" s="22">
        <v>4452000</v>
      </c>
      <c r="Z25" s="22">
        <v>4792000</v>
      </c>
      <c r="AA25" s="22">
        <v>4767000</v>
      </c>
      <c r="AB25" s="47">
        <f t="shared" si="6"/>
        <v>18588000</v>
      </c>
      <c r="AC25" s="22">
        <v>6413000</v>
      </c>
      <c r="AD25" s="22">
        <v>4622000</v>
      </c>
      <c r="AE25" s="22">
        <v>4629000</v>
      </c>
    </row>
    <row r="26" spans="1:32" ht="15.75" thickBot="1" x14ac:dyDescent="0.3">
      <c r="A26" s="8"/>
      <c r="B26" s="15" t="s">
        <v>34</v>
      </c>
      <c r="C26" s="61"/>
      <c r="D26" s="50">
        <v>312958000</v>
      </c>
      <c r="E26" s="50">
        <v>285842000</v>
      </c>
      <c r="F26" s="50">
        <v>285029000</v>
      </c>
      <c r="G26" s="50">
        <v>298945000</v>
      </c>
      <c r="H26" s="51">
        <v>1182775000</v>
      </c>
      <c r="I26" s="50">
        <v>303035000</v>
      </c>
      <c r="J26" s="50">
        <v>270503000</v>
      </c>
      <c r="K26" s="50">
        <v>268512000</v>
      </c>
      <c r="L26" s="50">
        <v>278306000</v>
      </c>
      <c r="M26" s="51">
        <v>1120356000</v>
      </c>
      <c r="N26" s="50">
        <v>263530000</v>
      </c>
      <c r="O26" s="50">
        <v>245957000</v>
      </c>
      <c r="P26" s="50">
        <v>252633000</v>
      </c>
      <c r="Q26" s="50">
        <v>242853000</v>
      </c>
      <c r="R26" s="51">
        <v>1004973000</v>
      </c>
      <c r="S26" s="50">
        <v>247993000</v>
      </c>
      <c r="T26" s="50">
        <v>229127000</v>
      </c>
      <c r="U26" s="50">
        <v>232107000</v>
      </c>
      <c r="V26" s="50">
        <v>230584000</v>
      </c>
      <c r="W26" s="51">
        <v>939812000</v>
      </c>
      <c r="X26" s="50">
        <v>237547000</v>
      </c>
      <c r="Y26" s="50">
        <v>230589000</v>
      </c>
      <c r="Z26" s="50">
        <v>246799000</v>
      </c>
      <c r="AA26" s="50">
        <f t="shared" ref="AA26:AC26" si="7">SUM(AA22:AA25)</f>
        <v>267585000</v>
      </c>
      <c r="AB26" s="51">
        <f t="shared" si="6"/>
        <v>982520000</v>
      </c>
      <c r="AC26" s="50">
        <f t="shared" si="7"/>
        <v>262375000</v>
      </c>
      <c r="AD26" s="50">
        <f t="shared" ref="AD26" si="8">SUM(AD22:AD25)</f>
        <v>248625612.94</v>
      </c>
      <c r="AE26" s="50">
        <v>262536000</v>
      </c>
    </row>
    <row r="27" spans="1:32" ht="5.45" customHeight="1" x14ac:dyDescent="0.25">
      <c r="A27" s="8"/>
      <c r="B27" s="15"/>
      <c r="C27" s="40"/>
      <c r="D27" s="8"/>
      <c r="E27" s="8"/>
      <c r="F27" s="8"/>
      <c r="G27" s="8"/>
      <c r="H27" s="47"/>
      <c r="I27" s="8"/>
      <c r="J27" s="8"/>
      <c r="K27" s="8"/>
      <c r="L27" s="8"/>
      <c r="M27" s="47"/>
      <c r="N27" s="8"/>
      <c r="O27" s="8"/>
      <c r="P27" s="8"/>
      <c r="Q27" s="8"/>
      <c r="R27" s="47"/>
      <c r="S27" s="8"/>
      <c r="T27" s="8"/>
      <c r="U27" s="8"/>
      <c r="V27" s="8"/>
      <c r="W27" s="47"/>
      <c r="X27" s="8"/>
      <c r="Y27" s="8"/>
      <c r="Z27" s="8"/>
      <c r="AA27" s="8"/>
      <c r="AB27" s="47"/>
      <c r="AC27" s="8"/>
      <c r="AD27" s="8"/>
      <c r="AE27" s="8"/>
    </row>
    <row r="28" spans="1:32" ht="16.5" thickBot="1" x14ac:dyDescent="0.3">
      <c r="A28" s="8"/>
      <c r="B28" s="15" t="s">
        <v>63</v>
      </c>
      <c r="C28" s="61"/>
      <c r="D28" s="62">
        <v>24996000</v>
      </c>
      <c r="E28" s="62">
        <v>32164000</v>
      </c>
      <c r="F28" s="62">
        <v>24750000</v>
      </c>
      <c r="G28" s="62">
        <v>11527000</v>
      </c>
      <c r="H28" s="100">
        <v>93437000</v>
      </c>
      <c r="I28" s="62">
        <v>33206000</v>
      </c>
      <c r="J28" s="62">
        <v>54716000</v>
      </c>
      <c r="K28" s="62">
        <v>45259000</v>
      </c>
      <c r="L28" s="62">
        <v>46272000</v>
      </c>
      <c r="M28" s="100">
        <v>179453000</v>
      </c>
      <c r="N28" s="62">
        <v>61110000</v>
      </c>
      <c r="O28" s="62">
        <v>67914000</v>
      </c>
      <c r="P28" s="62">
        <v>54248000</v>
      </c>
      <c r="Q28" s="62">
        <v>66908000</v>
      </c>
      <c r="R28" s="100">
        <v>250180000</v>
      </c>
      <c r="S28" s="62">
        <v>69565000</v>
      </c>
      <c r="T28" s="62">
        <v>86920000</v>
      </c>
      <c r="U28" s="62">
        <v>100635000</v>
      </c>
      <c r="V28" s="62">
        <v>97764000</v>
      </c>
      <c r="W28" s="100">
        <v>354883000</v>
      </c>
      <c r="X28" s="62">
        <v>121622000</v>
      </c>
      <c r="Y28" s="62">
        <v>126598000</v>
      </c>
      <c r="Z28" s="62">
        <v>109791000</v>
      </c>
      <c r="AA28" s="62">
        <v>92417000</v>
      </c>
      <c r="AB28" s="100">
        <v>450427400</v>
      </c>
      <c r="AC28" s="62">
        <f>+AC19-AC26</f>
        <v>101005000</v>
      </c>
      <c r="AD28" s="62">
        <f>+AD19-AD26</f>
        <v>99433940.329999983</v>
      </c>
      <c r="AE28" s="62">
        <v>72356061.319999978</v>
      </c>
    </row>
    <row r="29" spans="1:32" ht="15.75" thickBot="1" x14ac:dyDescent="0.3">
      <c r="A29" s="8"/>
      <c r="B29" s="53" t="s">
        <v>28</v>
      </c>
      <c r="C29" s="54"/>
      <c r="D29" s="55">
        <v>5.0918824442502432E-2</v>
      </c>
      <c r="E29" s="55">
        <v>7.0376894042995464E-2</v>
      </c>
      <c r="F29" s="55">
        <v>5.5896721270747553E-2</v>
      </c>
      <c r="G29" s="55">
        <v>2.5918805580851519E-2</v>
      </c>
      <c r="H29" s="101">
        <v>5.0907638679279207E-2</v>
      </c>
      <c r="I29" s="55">
        <v>6.8886256563238393E-2</v>
      </c>
      <c r="J29" s="55">
        <v>0.12006495216360924</v>
      </c>
      <c r="K29" s="55">
        <v>0.10028139679163343</v>
      </c>
      <c r="L29" s="55">
        <v>9.9161864513930706E-2</v>
      </c>
      <c r="M29" s="101">
        <v>9.6703044437930027E-2</v>
      </c>
      <c r="N29" s="55">
        <v>0.12901402152061883</v>
      </c>
      <c r="O29" s="55">
        <v>0.15055331902743541</v>
      </c>
      <c r="P29" s="55">
        <v>0.124</v>
      </c>
      <c r="Q29" s="55">
        <v>0.15246698083110774</v>
      </c>
      <c r="R29" s="101">
        <v>0.1389513720184439</v>
      </c>
      <c r="S29" s="55">
        <v>0.153</v>
      </c>
      <c r="T29" s="55">
        <v>0.189</v>
      </c>
      <c r="U29" s="55">
        <v>0.21221028925210292</v>
      </c>
      <c r="V29" s="55">
        <v>0.21099999999999999</v>
      </c>
      <c r="W29" s="101">
        <v>0.192</v>
      </c>
      <c r="X29" s="55">
        <f>X28/X11</f>
        <v>0.23172009617692896</v>
      </c>
      <c r="Y29" s="55">
        <v>0.25907708853102007</v>
      </c>
      <c r="Z29" s="55">
        <v>0.219</v>
      </c>
      <c r="AA29" s="55">
        <v>0.183</v>
      </c>
      <c r="AB29" s="101">
        <v>0.221</v>
      </c>
      <c r="AC29" s="55">
        <f>AC28/AC11</f>
        <v>0.19480043586850657</v>
      </c>
      <c r="AD29" s="55">
        <f>AD28/AD11</f>
        <v>0.20284982267919252</v>
      </c>
      <c r="AE29" s="55">
        <f>AE28/AE11</f>
        <v>0.15272884076087315</v>
      </c>
    </row>
    <row r="30" spans="1:32" x14ac:dyDescent="0.25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R30" s="48"/>
      <c r="T30" s="48"/>
      <c r="U30" s="48"/>
      <c r="W30" s="48"/>
      <c r="AB30" s="48"/>
    </row>
    <row r="31" spans="1:32" ht="29.45" customHeight="1" x14ac:dyDescent="0.25">
      <c r="A31" s="48"/>
      <c r="B31" s="148" t="s">
        <v>118</v>
      </c>
      <c r="C31" s="148"/>
      <c r="D31" s="148"/>
      <c r="E31" s="148"/>
      <c r="F31" s="148"/>
      <c r="G31" s="148"/>
      <c r="H31" s="148"/>
      <c r="I31" s="148"/>
      <c r="J31" s="148"/>
      <c r="K31" s="148"/>
      <c r="L31" s="148"/>
      <c r="M31" s="148"/>
      <c r="N31" s="148"/>
      <c r="O31" s="148"/>
      <c r="P31" s="148"/>
      <c r="Q31" s="148"/>
      <c r="R31" s="148"/>
      <c r="S31" s="148"/>
      <c r="T31" s="148"/>
      <c r="U31" s="148"/>
    </row>
    <row r="32" spans="1:32" ht="15.75" x14ac:dyDescent="0.25">
      <c r="A32" s="8"/>
      <c r="B32" s="102" t="s">
        <v>64</v>
      </c>
      <c r="C32" s="4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AA32" s="8"/>
      <c r="AB32" s="8"/>
    </row>
    <row r="33" spans="1:28" ht="15.75" x14ac:dyDescent="0.25">
      <c r="A33" s="8"/>
      <c r="B33" s="102" t="s">
        <v>65</v>
      </c>
      <c r="C33" s="4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AA33" s="8"/>
      <c r="AB33" s="8"/>
    </row>
    <row r="34" spans="1:28" ht="15.75" x14ac:dyDescent="0.25">
      <c r="A34" s="8"/>
      <c r="B34" s="102" t="s">
        <v>66</v>
      </c>
      <c r="C34" s="4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AA34" s="8"/>
      <c r="AB34" s="8"/>
    </row>
    <row r="35" spans="1:28" ht="15.75" x14ac:dyDescent="0.25">
      <c r="A35" s="8"/>
      <c r="B35" s="102" t="s">
        <v>67</v>
      </c>
      <c r="C35" s="4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AA35" s="8"/>
      <c r="AB35" s="8"/>
    </row>
    <row r="36" spans="1:28" ht="15.75" x14ac:dyDescent="0.25">
      <c r="A36" s="8"/>
      <c r="B36" s="102" t="s">
        <v>68</v>
      </c>
      <c r="C36" s="4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AA36" s="8"/>
      <c r="AB36" s="8"/>
    </row>
    <row r="37" spans="1:28" ht="15.75" x14ac:dyDescent="0.25">
      <c r="A37" s="8"/>
      <c r="B37" s="102" t="s">
        <v>69</v>
      </c>
      <c r="C37" s="4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AA37" s="8"/>
      <c r="AB37" s="8"/>
    </row>
    <row r="38" spans="1:28" ht="15.75" x14ac:dyDescent="0.25">
      <c r="A38" s="8"/>
      <c r="B38" s="102" t="s">
        <v>70</v>
      </c>
      <c r="C38" s="4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AA38" s="8"/>
      <c r="AB38" s="8"/>
    </row>
    <row r="39" spans="1:28" ht="15.75" x14ac:dyDescent="0.25">
      <c r="A39" s="8"/>
      <c r="B39" s="102" t="s">
        <v>71</v>
      </c>
      <c r="C39" s="4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AA39" s="8"/>
      <c r="AB39" s="8"/>
    </row>
    <row r="40" spans="1:28" ht="30.6" customHeight="1" x14ac:dyDescent="0.25">
      <c r="A40" s="8"/>
      <c r="B40" s="140" t="s">
        <v>72</v>
      </c>
      <c r="C40" s="140"/>
      <c r="D40" s="140"/>
      <c r="E40" s="140"/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P40" s="140"/>
      <c r="Q40" s="140"/>
      <c r="R40" s="140"/>
      <c r="S40" s="140"/>
      <c r="T40" s="140"/>
      <c r="U40" s="140"/>
    </row>
  </sheetData>
  <mergeCells count="6">
    <mergeCell ref="B31:U31"/>
    <mergeCell ref="B40:U40"/>
    <mergeCell ref="D4:G4"/>
    <mergeCell ref="I4:L4"/>
    <mergeCell ref="N4:Q4"/>
    <mergeCell ref="S4:V4"/>
  </mergeCells>
  <pageMargins left="0.7" right="0.7" top="0.75" bottom="0.75" header="0.3" footer="0.3"/>
  <pageSetup scale="7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  <pageSetUpPr fitToPage="1"/>
  </sheetPr>
  <dimension ref="A1:AF39"/>
  <sheetViews>
    <sheetView showGridLines="0" view="pageBreakPreview" zoomScale="85" zoomScaleNormal="70" zoomScaleSheetLayoutView="85" workbookViewId="0">
      <pane ySplit="5" topLeftCell="A6" activePane="bottomLeft" state="frozen"/>
      <selection activeCell="AF18" sqref="AF18"/>
      <selection pane="bottomLeft" activeCell="W1" sqref="W1"/>
    </sheetView>
  </sheetViews>
  <sheetFormatPr defaultRowHeight="15" x14ac:dyDescent="0.25"/>
  <cols>
    <col min="1" max="1" width="2.7109375" customWidth="1"/>
    <col min="2" max="2" width="49.42578125" customWidth="1"/>
    <col min="3" max="3" width="1.28515625" customWidth="1"/>
    <col min="4" max="4" width="12.7109375" hidden="1" customWidth="1"/>
    <col min="5" max="6" width="13.28515625" hidden="1" customWidth="1"/>
    <col min="7" max="7" width="13.7109375" hidden="1" customWidth="1"/>
    <col min="8" max="8" width="11.85546875" hidden="1" customWidth="1"/>
    <col min="9" max="9" width="13" hidden="1" customWidth="1"/>
    <col min="10" max="11" width="13.42578125" hidden="1" customWidth="1"/>
    <col min="12" max="12" width="14" hidden="1" customWidth="1"/>
    <col min="13" max="13" width="12" hidden="1" customWidth="1"/>
    <col min="14" max="22" width="11.28515625" hidden="1" customWidth="1"/>
    <col min="23" max="29" width="11.28515625" customWidth="1"/>
    <col min="30" max="31" width="12.5703125" bestFit="1" customWidth="1"/>
    <col min="32" max="32" width="13.140625" style="122" customWidth="1"/>
  </cols>
  <sheetData>
    <row r="1" spans="1:32" ht="28.5" x14ac:dyDescent="0.45">
      <c r="A1" s="1"/>
      <c r="B1" s="2" t="s">
        <v>0</v>
      </c>
      <c r="C1" s="3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AA1" s="1"/>
      <c r="AB1" s="1"/>
    </row>
    <row r="2" spans="1:32" ht="21" x14ac:dyDescent="0.35">
      <c r="A2" s="1"/>
      <c r="B2" s="4" t="s">
        <v>1</v>
      </c>
      <c r="C2" s="5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AA2" s="1"/>
      <c r="AB2" s="1"/>
    </row>
    <row r="3" spans="1:32" ht="19.5" thickBot="1" x14ac:dyDescent="0.35">
      <c r="A3" s="1"/>
      <c r="B3" s="6" t="s">
        <v>2</v>
      </c>
      <c r="C3" s="7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AA3" s="1"/>
      <c r="AB3" s="1"/>
      <c r="AF3" s="123"/>
    </row>
    <row r="4" spans="1:32" ht="16.5" thickTop="1" x14ac:dyDescent="0.25">
      <c r="A4" s="8"/>
      <c r="B4" s="9" t="s">
        <v>119</v>
      </c>
      <c r="C4" s="10"/>
      <c r="D4" s="141" t="s">
        <v>4</v>
      </c>
      <c r="E4" s="142"/>
      <c r="F4" s="142"/>
      <c r="G4" s="143"/>
      <c r="H4" s="11" t="s">
        <v>5</v>
      </c>
      <c r="I4" s="144" t="s">
        <v>4</v>
      </c>
      <c r="J4" s="145"/>
      <c r="K4" s="145"/>
      <c r="L4" s="145"/>
      <c r="M4" s="11" t="s">
        <v>5</v>
      </c>
      <c r="N4" s="149" t="s">
        <v>4</v>
      </c>
      <c r="O4" s="150"/>
      <c r="P4" s="150"/>
      <c r="Q4" s="150"/>
      <c r="R4" s="11"/>
      <c r="S4" s="149" t="s">
        <v>4</v>
      </c>
      <c r="T4" s="150"/>
      <c r="U4" s="150"/>
      <c r="V4" s="150"/>
      <c r="W4" s="11"/>
      <c r="X4" s="115" t="s">
        <v>4</v>
      </c>
      <c r="Y4" s="116" t="s">
        <v>4</v>
      </c>
      <c r="Z4" s="116" t="s">
        <v>4</v>
      </c>
      <c r="AA4" s="116" t="s">
        <v>4</v>
      </c>
      <c r="AB4" s="11" t="s">
        <v>5</v>
      </c>
      <c r="AC4" s="115" t="s">
        <v>4</v>
      </c>
      <c r="AD4" s="116" t="s">
        <v>4</v>
      </c>
      <c r="AE4" s="116" t="s">
        <v>4</v>
      </c>
      <c r="AF4" s="123"/>
    </row>
    <row r="5" spans="1:32" x14ac:dyDescent="0.25">
      <c r="A5" s="8"/>
      <c r="B5" s="12" t="s">
        <v>6</v>
      </c>
      <c r="C5" s="10"/>
      <c r="D5" s="13">
        <v>42825</v>
      </c>
      <c r="E5" s="13">
        <v>42916</v>
      </c>
      <c r="F5" s="13">
        <v>43008</v>
      </c>
      <c r="G5" s="13">
        <v>43100</v>
      </c>
      <c r="H5" s="14">
        <v>2017</v>
      </c>
      <c r="I5" s="13">
        <v>43190</v>
      </c>
      <c r="J5" s="13">
        <v>43281</v>
      </c>
      <c r="K5" s="13" t="s">
        <v>7</v>
      </c>
      <c r="L5" s="13">
        <v>43465</v>
      </c>
      <c r="M5" s="14">
        <v>2018</v>
      </c>
      <c r="N5" s="13">
        <v>43555</v>
      </c>
      <c r="O5" s="13">
        <v>43646</v>
      </c>
      <c r="P5" s="13">
        <v>43738</v>
      </c>
      <c r="Q5" s="13">
        <v>43830</v>
      </c>
      <c r="R5" s="14">
        <v>2019</v>
      </c>
      <c r="S5" s="13">
        <v>43921</v>
      </c>
      <c r="T5" s="13" t="s">
        <v>10</v>
      </c>
      <c r="U5" s="13">
        <v>44104</v>
      </c>
      <c r="V5" s="13">
        <v>44196</v>
      </c>
      <c r="W5" s="14">
        <v>2020</v>
      </c>
      <c r="X5" s="13">
        <v>44286</v>
      </c>
      <c r="Y5" s="13">
        <v>44377</v>
      </c>
      <c r="Z5" s="13">
        <v>44469</v>
      </c>
      <c r="AA5" s="13">
        <v>44561</v>
      </c>
      <c r="AB5" s="14">
        <v>2021</v>
      </c>
      <c r="AC5" s="13">
        <v>44651</v>
      </c>
      <c r="AD5" s="13">
        <v>44742</v>
      </c>
      <c r="AE5" s="13">
        <v>44834</v>
      </c>
      <c r="AF5" s="125"/>
    </row>
    <row r="6" spans="1:32" x14ac:dyDescent="0.25">
      <c r="A6" s="8"/>
      <c r="B6" s="15" t="s">
        <v>11</v>
      </c>
      <c r="C6" s="16"/>
      <c r="D6" s="8"/>
      <c r="E6" s="8"/>
      <c r="F6" s="8"/>
      <c r="G6" s="8"/>
      <c r="H6" s="18"/>
      <c r="I6" s="8"/>
      <c r="J6" s="8"/>
      <c r="K6" s="8"/>
      <c r="L6" s="8"/>
      <c r="M6" s="18"/>
      <c r="N6" s="8"/>
      <c r="O6" s="8"/>
      <c r="P6" s="8"/>
      <c r="Q6" s="8"/>
      <c r="R6" s="18"/>
      <c r="S6" s="8"/>
      <c r="T6" s="8"/>
      <c r="U6" s="8"/>
      <c r="V6" s="8"/>
      <c r="W6" s="18"/>
      <c r="AA6" s="8"/>
      <c r="AB6" s="18"/>
    </row>
    <row r="7" spans="1:32" x14ac:dyDescent="0.25">
      <c r="A7" s="19"/>
      <c r="B7" s="20" t="s">
        <v>12</v>
      </c>
      <c r="C7" s="21"/>
      <c r="D7" s="22">
        <v>166584000</v>
      </c>
      <c r="E7" s="22">
        <v>157885000</v>
      </c>
      <c r="F7" s="22">
        <v>144963000</v>
      </c>
      <c r="G7" s="22">
        <v>139907000</v>
      </c>
      <c r="H7" s="23">
        <v>609339000</v>
      </c>
      <c r="I7" s="22">
        <v>140824000</v>
      </c>
      <c r="J7" s="22">
        <v>140799000</v>
      </c>
      <c r="K7" s="22">
        <v>137061000</v>
      </c>
      <c r="L7" s="22">
        <v>138908000</v>
      </c>
      <c r="M7" s="23">
        <v>557592000</v>
      </c>
      <c r="N7" s="22">
        <v>143193000</v>
      </c>
      <c r="O7" s="22">
        <v>139104000</v>
      </c>
      <c r="P7" s="22">
        <v>148711000</v>
      </c>
      <c r="Q7" s="22">
        <v>156494002</v>
      </c>
      <c r="R7" s="23">
        <v>587502000</v>
      </c>
      <c r="S7" s="22">
        <v>161998000</v>
      </c>
      <c r="T7" s="22">
        <v>139440000</v>
      </c>
      <c r="U7" s="22">
        <v>153306000</v>
      </c>
      <c r="V7" s="22">
        <f>W7-U7-T7-S7</f>
        <v>156164000</v>
      </c>
      <c r="W7" s="23">
        <v>610908000</v>
      </c>
      <c r="X7" s="22">
        <v>302526000</v>
      </c>
      <c r="Y7" s="22">
        <v>463841000</v>
      </c>
      <c r="Z7" s="22">
        <v>469692000</v>
      </c>
      <c r="AA7" s="22">
        <v>465473000</v>
      </c>
      <c r="AB7" s="23">
        <f>SUM(X7:AA7)</f>
        <v>1701532000</v>
      </c>
      <c r="AC7" s="120">
        <v>425471000</v>
      </c>
      <c r="AD7" s="120">
        <v>405183996.88</v>
      </c>
      <c r="AE7" s="120">
        <v>387488000</v>
      </c>
      <c r="AF7" s="123"/>
    </row>
    <row r="8" spans="1:32" x14ac:dyDescent="0.25">
      <c r="A8" s="8"/>
      <c r="B8" s="20" t="s">
        <v>13</v>
      </c>
      <c r="C8" s="24"/>
      <c r="D8" s="22">
        <v>67674000</v>
      </c>
      <c r="E8" s="22">
        <v>45232000</v>
      </c>
      <c r="F8" s="22">
        <v>39148000</v>
      </c>
      <c r="G8" s="22">
        <v>35827000</v>
      </c>
      <c r="H8" s="23">
        <v>187881000</v>
      </c>
      <c r="I8" s="22">
        <v>56006000</v>
      </c>
      <c r="J8" s="22">
        <v>38077000</v>
      </c>
      <c r="K8" s="22">
        <v>36264000</v>
      </c>
      <c r="L8" s="22">
        <v>34085000</v>
      </c>
      <c r="M8" s="23">
        <v>164432000</v>
      </c>
      <c r="N8" s="22">
        <v>53156000</v>
      </c>
      <c r="O8" s="22">
        <v>37140000</v>
      </c>
      <c r="P8" s="22">
        <v>35667000</v>
      </c>
      <c r="Q8" s="22">
        <v>35272002</v>
      </c>
      <c r="R8" s="23">
        <v>161235000</v>
      </c>
      <c r="S8" s="22">
        <v>53988000</v>
      </c>
      <c r="T8" s="22">
        <v>51690000</v>
      </c>
      <c r="U8" s="22">
        <v>48096000</v>
      </c>
      <c r="V8" s="22">
        <f>W8-U8-T8-S8</f>
        <v>44743000</v>
      </c>
      <c r="W8" s="23">
        <v>198517000</v>
      </c>
      <c r="X8" s="22">
        <v>154630000</v>
      </c>
      <c r="Y8" s="22">
        <v>171346000</v>
      </c>
      <c r="Z8" s="22">
        <v>153725000</v>
      </c>
      <c r="AA8" s="22">
        <v>146465000</v>
      </c>
      <c r="AB8" s="23">
        <f t="shared" ref="AB8:AB11" si="0">SUM(X8:AA8)</f>
        <v>626166000</v>
      </c>
      <c r="AC8" s="120">
        <v>173783000</v>
      </c>
      <c r="AD8" s="120">
        <v>124887581.30999999</v>
      </c>
      <c r="AE8" s="120">
        <v>116795000</v>
      </c>
      <c r="AF8" s="123"/>
    </row>
    <row r="9" spans="1:32" x14ac:dyDescent="0.25">
      <c r="A9" s="8"/>
      <c r="B9" s="20" t="s">
        <v>14</v>
      </c>
      <c r="C9" s="24"/>
      <c r="D9" s="22">
        <v>0</v>
      </c>
      <c r="E9" s="22">
        <v>0</v>
      </c>
      <c r="F9" s="22">
        <v>0</v>
      </c>
      <c r="G9" s="22">
        <v>0</v>
      </c>
      <c r="H9" s="23">
        <v>0</v>
      </c>
      <c r="I9" s="22">
        <v>0</v>
      </c>
      <c r="J9" s="22">
        <v>0</v>
      </c>
      <c r="K9" s="22">
        <v>0</v>
      </c>
      <c r="L9" s="22">
        <v>0</v>
      </c>
      <c r="M9" s="23">
        <v>0</v>
      </c>
      <c r="N9" s="22">
        <v>0</v>
      </c>
      <c r="O9" s="22">
        <v>0</v>
      </c>
      <c r="P9" s="22">
        <v>0</v>
      </c>
      <c r="Q9" s="22">
        <v>0</v>
      </c>
      <c r="R9" s="23">
        <v>0</v>
      </c>
      <c r="S9" s="22">
        <v>0</v>
      </c>
      <c r="T9" s="22">
        <v>0</v>
      </c>
      <c r="U9" s="22">
        <v>0</v>
      </c>
      <c r="V9" s="22">
        <f>W9-U9-T9-S9</f>
        <v>0</v>
      </c>
      <c r="W9" s="23">
        <v>0</v>
      </c>
      <c r="X9" s="22">
        <v>0</v>
      </c>
      <c r="Y9" s="22">
        <v>0</v>
      </c>
      <c r="Z9" s="22">
        <v>0</v>
      </c>
      <c r="AA9" s="22">
        <v>0</v>
      </c>
      <c r="AB9" s="23">
        <f t="shared" si="0"/>
        <v>0</v>
      </c>
      <c r="AC9" s="120">
        <v>0</v>
      </c>
      <c r="AD9" s="120">
        <v>0</v>
      </c>
      <c r="AE9" s="120">
        <v>0</v>
      </c>
      <c r="AF9" s="123"/>
    </row>
    <row r="10" spans="1:32" x14ac:dyDescent="0.25">
      <c r="A10" s="8"/>
      <c r="B10" s="20" t="s">
        <v>15</v>
      </c>
      <c r="C10" s="25"/>
      <c r="D10" s="22">
        <v>288000</v>
      </c>
      <c r="E10" s="22">
        <v>204000</v>
      </c>
      <c r="F10" s="22">
        <v>182000</v>
      </c>
      <c r="G10" s="22">
        <v>93000</v>
      </c>
      <c r="H10" s="23">
        <v>767000</v>
      </c>
      <c r="I10" s="22">
        <v>156000</v>
      </c>
      <c r="J10" s="22">
        <v>135000</v>
      </c>
      <c r="K10" s="22">
        <v>113000</v>
      </c>
      <c r="L10" s="22">
        <v>134000</v>
      </c>
      <c r="M10" s="23">
        <v>538000</v>
      </c>
      <c r="N10" s="22">
        <v>173000</v>
      </c>
      <c r="O10" s="22">
        <v>145000</v>
      </c>
      <c r="P10" s="22">
        <v>108000</v>
      </c>
      <c r="Q10" s="22">
        <v>97000</v>
      </c>
      <c r="R10" s="23">
        <v>523000</v>
      </c>
      <c r="S10" s="22">
        <v>141000</v>
      </c>
      <c r="T10" s="22">
        <v>113000</v>
      </c>
      <c r="U10" s="22">
        <v>257000</v>
      </c>
      <c r="V10" s="22">
        <f>W10-U10-T10-S10</f>
        <v>215000</v>
      </c>
      <c r="W10" s="23">
        <v>726000</v>
      </c>
      <c r="X10" s="22">
        <v>293000</v>
      </c>
      <c r="Y10" s="22">
        <v>93000</v>
      </c>
      <c r="Z10" s="22">
        <v>28000</v>
      </c>
      <c r="AA10" s="22">
        <v>-23000</v>
      </c>
      <c r="AB10" s="23">
        <f t="shared" si="0"/>
        <v>391000</v>
      </c>
      <c r="AC10" s="120">
        <v>123000</v>
      </c>
      <c r="AD10" s="120">
        <v>98411.9</v>
      </c>
      <c r="AE10" s="120">
        <v>165000</v>
      </c>
      <c r="AF10" s="123"/>
    </row>
    <row r="11" spans="1:32" ht="15.75" thickBot="1" x14ac:dyDescent="0.3">
      <c r="A11" s="8"/>
      <c r="B11" s="26" t="s">
        <v>20</v>
      </c>
      <c r="C11" s="27"/>
      <c r="D11" s="41">
        <v>234546000</v>
      </c>
      <c r="E11" s="41">
        <v>203321000</v>
      </c>
      <c r="F11" s="41">
        <v>184293000</v>
      </c>
      <c r="G11" s="41">
        <v>175827000</v>
      </c>
      <c r="H11" s="42">
        <v>797987000</v>
      </c>
      <c r="I11" s="41">
        <v>196986000</v>
      </c>
      <c r="J11" s="41">
        <v>179011000</v>
      </c>
      <c r="K11" s="41">
        <v>173438000</v>
      </c>
      <c r="L11" s="41">
        <v>173127000</v>
      </c>
      <c r="M11" s="42">
        <v>722562000</v>
      </c>
      <c r="N11" s="41">
        <v>196522000</v>
      </c>
      <c r="O11" s="41">
        <v>176389000</v>
      </c>
      <c r="P11" s="41">
        <v>184486000</v>
      </c>
      <c r="Q11" s="41">
        <v>191863004.00000003</v>
      </c>
      <c r="R11" s="42">
        <v>749260006</v>
      </c>
      <c r="S11" s="41">
        <v>216127000</v>
      </c>
      <c r="T11" s="41">
        <v>191243000</v>
      </c>
      <c r="U11" s="41">
        <v>201659000</v>
      </c>
      <c r="V11" s="41">
        <f>W11-U11-T11-S11</f>
        <v>201122000</v>
      </c>
      <c r="W11" s="42">
        <v>810151000</v>
      </c>
      <c r="X11" s="98">
        <v>457449000</v>
      </c>
      <c r="Y11" s="98">
        <v>635280000</v>
      </c>
      <c r="Z11" s="98">
        <v>623445000</v>
      </c>
      <c r="AA11" s="41">
        <v>611916000</v>
      </c>
      <c r="AB11" s="42">
        <f t="shared" si="0"/>
        <v>2328090000</v>
      </c>
      <c r="AC11" s="98">
        <f>SUM(AC7:AC10)</f>
        <v>599377000</v>
      </c>
      <c r="AD11" s="98">
        <f>SUM(AD7:AD10)</f>
        <v>530169990.08999997</v>
      </c>
      <c r="AE11" s="98">
        <v>504448000</v>
      </c>
      <c r="AF11" s="123"/>
    </row>
    <row r="12" spans="1:32" ht="15" customHeight="1" x14ac:dyDescent="0.25">
      <c r="A12" s="8"/>
      <c r="B12" s="15" t="s">
        <v>21</v>
      </c>
      <c r="C12" s="8"/>
      <c r="D12" s="43">
        <v>1.8012465494192664E-2</v>
      </c>
      <c r="E12" s="43">
        <v>1.9071152188295581E-2</v>
      </c>
      <c r="F12" s="43">
        <v>-5.1980987458718708E-2</v>
      </c>
      <c r="G12" s="43">
        <v>-9.1352116752108525E-2</v>
      </c>
      <c r="H12" s="103">
        <v>-2.4243898979474543E-2</v>
      </c>
      <c r="I12" s="43">
        <v>-0.16013916246706406</v>
      </c>
      <c r="J12" s="43">
        <v>-0.1195646293299758</v>
      </c>
      <c r="K12" s="43">
        <v>-5.8900772140016169E-2</v>
      </c>
      <c r="L12" s="43">
        <v>-1.5356003344196284E-2</v>
      </c>
      <c r="M12" s="103">
        <v>-9.4519083644219765E-2</v>
      </c>
      <c r="N12" s="43">
        <v>-2.3554973449889838E-3</v>
      </c>
      <c r="O12" s="43">
        <v>-1.4647144588880013E-2</v>
      </c>
      <c r="P12" s="43">
        <v>6.4000000000000001E-2</v>
      </c>
      <c r="Q12" s="43">
        <v>0.10822115556787801</v>
      </c>
      <c r="R12" s="103">
        <v>3.6949086721969948E-2</v>
      </c>
      <c r="S12" s="43">
        <v>0.1</v>
      </c>
      <c r="T12" s="43">
        <v>8.4000000000000005E-2</v>
      </c>
      <c r="U12" s="43">
        <v>9.3085654195982345E-2</v>
      </c>
      <c r="V12" s="43">
        <v>4.8000000000000001E-2</v>
      </c>
      <c r="W12" s="103">
        <v>8.1000000000000003E-2</v>
      </c>
      <c r="X12" s="99">
        <f>(X11-S11)/S11</f>
        <v>1.1165749767497815</v>
      </c>
      <c r="Y12" s="99">
        <v>2.3218470741412758</v>
      </c>
      <c r="Z12" s="99">
        <v>2.0920000000000001</v>
      </c>
      <c r="AA12" s="43">
        <v>2.0430000000000001</v>
      </c>
      <c r="AB12" s="103">
        <v>1.8740000000000001</v>
      </c>
      <c r="AC12" s="99">
        <f>(AC11-X11)/X11</f>
        <v>0.31025972294179244</v>
      </c>
      <c r="AD12" s="99">
        <f>(AD11-Y11)/Y11</f>
        <v>-0.16545461829429547</v>
      </c>
      <c r="AE12" s="99">
        <f>(AE11-Z11)/Z11</f>
        <v>-0.19087008477091003</v>
      </c>
      <c r="AF12" s="123"/>
    </row>
    <row r="13" spans="1:32" ht="18" customHeight="1" x14ac:dyDescent="0.25">
      <c r="A13" s="8"/>
      <c r="B13" s="26" t="s">
        <v>62</v>
      </c>
      <c r="C13" s="35"/>
      <c r="D13" s="36">
        <v>2.87E-2</v>
      </c>
      <c r="E13" s="36">
        <v>6.6900000000000001E-2</v>
      </c>
      <c r="F13" s="36">
        <v>7.9200000000000007E-2</v>
      </c>
      <c r="G13" s="36">
        <v>6.6799999999999998E-2</v>
      </c>
      <c r="H13" s="37">
        <v>5.1999999999999998E-2</v>
      </c>
      <c r="I13" s="36">
        <v>3.32E-2</v>
      </c>
      <c r="J13" s="36">
        <v>3.6999999999999998E-2</v>
      </c>
      <c r="K13" s="36">
        <v>6.6500000000000004E-2</v>
      </c>
      <c r="L13" s="36">
        <v>9.6299999999999997E-2</v>
      </c>
      <c r="M13" s="37">
        <v>5.8500000000000003E-2</v>
      </c>
      <c r="N13" s="36">
        <v>0.10059999999999999</v>
      </c>
      <c r="O13" s="36">
        <v>0.06</v>
      </c>
      <c r="P13" s="36">
        <v>6.2E-2</v>
      </c>
      <c r="Q13" s="36">
        <v>2.1299999999999999E-2</v>
      </c>
      <c r="R13" s="37">
        <v>5.7500000000000002E-2</v>
      </c>
      <c r="S13" s="36"/>
      <c r="T13" s="36"/>
      <c r="U13" s="36"/>
      <c r="V13" s="36"/>
      <c r="W13" s="37"/>
      <c r="X13" s="36"/>
      <c r="Y13" s="36"/>
      <c r="Z13" s="36"/>
      <c r="AA13" s="36"/>
      <c r="AB13" s="37"/>
      <c r="AC13" s="36"/>
      <c r="AD13" s="36"/>
      <c r="AE13" s="36"/>
      <c r="AF13" s="123"/>
    </row>
    <row r="14" spans="1:32" ht="22.15" customHeight="1" x14ac:dyDescent="0.25">
      <c r="A14" s="8"/>
      <c r="B14" s="15" t="s">
        <v>22</v>
      </c>
      <c r="C14" s="40"/>
      <c r="D14" s="40"/>
      <c r="E14" s="40"/>
      <c r="F14" s="40"/>
      <c r="G14" s="40"/>
      <c r="H14" s="46"/>
      <c r="I14" s="40"/>
      <c r="J14" s="40"/>
      <c r="K14" s="40"/>
      <c r="L14" s="40" t="s">
        <v>61</v>
      </c>
      <c r="M14" s="46" t="s">
        <v>61</v>
      </c>
      <c r="N14" s="40"/>
      <c r="O14" s="40"/>
      <c r="P14" s="40"/>
      <c r="Q14" s="40"/>
      <c r="R14" s="46"/>
      <c r="S14" s="40"/>
      <c r="T14" s="40"/>
      <c r="U14" s="40"/>
      <c r="V14" s="40"/>
      <c r="W14" s="46"/>
      <c r="X14" s="8"/>
      <c r="Y14" s="8"/>
      <c r="Z14" s="8"/>
      <c r="AA14" s="40"/>
      <c r="AB14" s="46"/>
      <c r="AC14" s="8"/>
      <c r="AD14" s="8"/>
      <c r="AE14" s="8"/>
      <c r="AF14" s="123"/>
    </row>
    <row r="15" spans="1:32" x14ac:dyDescent="0.25">
      <c r="A15" s="8"/>
      <c r="B15" s="20" t="s">
        <v>23</v>
      </c>
      <c r="C15" s="24"/>
      <c r="D15" s="22">
        <v>52463000</v>
      </c>
      <c r="E15" s="22">
        <v>50198000</v>
      </c>
      <c r="F15" s="22">
        <v>46385000</v>
      </c>
      <c r="G15" s="22">
        <v>44626000</v>
      </c>
      <c r="H15" s="47">
        <v>193672000</v>
      </c>
      <c r="I15" s="22">
        <v>48270000</v>
      </c>
      <c r="J15" s="22">
        <v>49651000</v>
      </c>
      <c r="K15" s="22">
        <v>49308000</v>
      </c>
      <c r="L15" s="22">
        <v>50222000</v>
      </c>
      <c r="M15" s="47">
        <v>197451000</v>
      </c>
      <c r="N15" s="22">
        <v>51409000</v>
      </c>
      <c r="O15" s="22">
        <v>52978000</v>
      </c>
      <c r="P15" s="22">
        <v>62031000</v>
      </c>
      <c r="Q15" s="22">
        <v>62511002</v>
      </c>
      <c r="R15" s="47">
        <v>228929002</v>
      </c>
      <c r="S15" s="22">
        <v>65363000</v>
      </c>
      <c r="T15" s="22">
        <v>59349000</v>
      </c>
      <c r="U15" s="22">
        <v>62491000</v>
      </c>
      <c r="V15" s="22">
        <f>W15-U15-T15-S15</f>
        <v>61842000</v>
      </c>
      <c r="W15" s="47">
        <v>249045000</v>
      </c>
      <c r="X15" s="22">
        <v>136857000</v>
      </c>
      <c r="Y15" s="22">
        <v>219409000</v>
      </c>
      <c r="Z15" s="22">
        <v>229347000</v>
      </c>
      <c r="AA15" s="22">
        <v>236474000</v>
      </c>
      <c r="AB15" s="47">
        <f t="shared" ref="AB15:AB19" si="1">SUM(X15:AA15)</f>
        <v>822087000</v>
      </c>
      <c r="AC15" s="22">
        <v>226879000</v>
      </c>
      <c r="AD15" s="22">
        <v>205693543.62</v>
      </c>
      <c r="AE15" s="22">
        <v>197842000</v>
      </c>
      <c r="AF15" s="123"/>
    </row>
    <row r="16" spans="1:32" x14ac:dyDescent="0.25">
      <c r="A16" s="8"/>
      <c r="B16" s="20" t="s">
        <v>24</v>
      </c>
      <c r="C16" s="24"/>
      <c r="D16" s="22">
        <v>67654000</v>
      </c>
      <c r="E16" s="22">
        <v>49189000</v>
      </c>
      <c r="F16" s="22">
        <v>45820000</v>
      </c>
      <c r="G16" s="22">
        <v>41650000</v>
      </c>
      <c r="H16" s="47">
        <v>204313000</v>
      </c>
      <c r="I16" s="22">
        <v>59911000</v>
      </c>
      <c r="J16" s="22">
        <v>43310000</v>
      </c>
      <c r="K16" s="22">
        <v>42544000</v>
      </c>
      <c r="L16" s="22">
        <v>39730000</v>
      </c>
      <c r="M16" s="47">
        <v>185495000</v>
      </c>
      <c r="N16" s="22">
        <v>58785000</v>
      </c>
      <c r="O16" s="22">
        <v>43031000</v>
      </c>
      <c r="P16" s="22">
        <v>42342000</v>
      </c>
      <c r="Q16" s="22">
        <v>42375000</v>
      </c>
      <c r="R16" s="47">
        <v>186533000</v>
      </c>
      <c r="S16" s="22">
        <v>62449000</v>
      </c>
      <c r="T16" s="22">
        <v>60503000</v>
      </c>
      <c r="U16" s="22">
        <v>60441000</v>
      </c>
      <c r="V16" s="22">
        <f>W16-U16-T16-S16</f>
        <v>56603000</v>
      </c>
      <c r="W16" s="47">
        <v>239996000</v>
      </c>
      <c r="X16" s="22">
        <v>186342000</v>
      </c>
      <c r="Y16" s="22">
        <v>215341000</v>
      </c>
      <c r="Z16" s="22">
        <v>199683000</v>
      </c>
      <c r="AA16" s="22">
        <v>190049000</v>
      </c>
      <c r="AB16" s="47">
        <f t="shared" si="1"/>
        <v>791415000</v>
      </c>
      <c r="AC16" s="22">
        <v>211123000</v>
      </c>
      <c r="AD16" s="22">
        <v>159395326.79999998</v>
      </c>
      <c r="AE16" s="22">
        <v>154172000</v>
      </c>
      <c r="AF16" s="123"/>
    </row>
    <row r="17" spans="1:32" x14ac:dyDescent="0.25">
      <c r="A17" s="8"/>
      <c r="B17" s="20" t="s">
        <v>25</v>
      </c>
      <c r="C17" s="39"/>
      <c r="D17" s="22">
        <v>0</v>
      </c>
      <c r="E17" s="22">
        <v>0</v>
      </c>
      <c r="F17" s="22">
        <v>0</v>
      </c>
      <c r="G17" s="22">
        <v>0</v>
      </c>
      <c r="H17" s="47">
        <v>0</v>
      </c>
      <c r="I17" s="22">
        <v>0</v>
      </c>
      <c r="J17" s="22">
        <v>0</v>
      </c>
      <c r="K17" s="22">
        <v>0</v>
      </c>
      <c r="L17" s="22">
        <v>0</v>
      </c>
      <c r="M17" s="47">
        <v>0</v>
      </c>
      <c r="N17" s="22">
        <v>0</v>
      </c>
      <c r="O17" s="22">
        <v>0</v>
      </c>
      <c r="P17" s="22">
        <v>0</v>
      </c>
      <c r="Q17" s="22">
        <v>0</v>
      </c>
      <c r="R17" s="47">
        <v>0</v>
      </c>
      <c r="S17" s="22">
        <v>0</v>
      </c>
      <c r="T17" s="22">
        <v>0</v>
      </c>
      <c r="U17" s="22">
        <v>0</v>
      </c>
      <c r="V17" s="22">
        <f>W17-U17-T17-S17</f>
        <v>0</v>
      </c>
      <c r="W17" s="47">
        <v>0</v>
      </c>
      <c r="X17" s="22">
        <v>0</v>
      </c>
      <c r="Y17" s="22">
        <v>0</v>
      </c>
      <c r="Z17" s="22">
        <v>0</v>
      </c>
      <c r="AA17" s="22">
        <v>0</v>
      </c>
      <c r="AB17" s="47">
        <f t="shared" si="1"/>
        <v>0</v>
      </c>
      <c r="AC17" s="22">
        <v>0</v>
      </c>
      <c r="AD17" s="22">
        <v>0</v>
      </c>
      <c r="AE17" s="22">
        <v>0</v>
      </c>
      <c r="AF17" s="123"/>
    </row>
    <row r="18" spans="1:32" x14ac:dyDescent="0.25">
      <c r="A18" s="8"/>
      <c r="B18" s="20" t="s">
        <v>26</v>
      </c>
      <c r="C18" s="39"/>
      <c r="D18" s="22">
        <v>0</v>
      </c>
      <c r="E18" s="22">
        <v>0</v>
      </c>
      <c r="F18" s="22">
        <v>0</v>
      </c>
      <c r="G18" s="22">
        <v>0</v>
      </c>
      <c r="H18" s="47">
        <v>0</v>
      </c>
      <c r="I18" s="22">
        <v>0</v>
      </c>
      <c r="J18" s="22">
        <v>0</v>
      </c>
      <c r="K18" s="22">
        <v>0</v>
      </c>
      <c r="L18" s="22">
        <v>0</v>
      </c>
      <c r="M18" s="47">
        <v>0</v>
      </c>
      <c r="N18" s="22">
        <v>0</v>
      </c>
      <c r="O18" s="22">
        <v>0</v>
      </c>
      <c r="P18" s="22">
        <v>0</v>
      </c>
      <c r="Q18" s="22">
        <v>0</v>
      </c>
      <c r="R18" s="47">
        <v>0</v>
      </c>
      <c r="S18" s="22">
        <v>0</v>
      </c>
      <c r="T18" s="22">
        <v>0</v>
      </c>
      <c r="U18" s="22">
        <v>0</v>
      </c>
      <c r="V18" s="22">
        <f>W18-U18-T18-S18</f>
        <v>0</v>
      </c>
      <c r="W18" s="47">
        <v>0</v>
      </c>
      <c r="X18" s="22">
        <v>0</v>
      </c>
      <c r="Y18" s="22">
        <v>0</v>
      </c>
      <c r="Z18" s="22">
        <v>0</v>
      </c>
      <c r="AA18" s="22">
        <v>0</v>
      </c>
      <c r="AB18" s="47">
        <f t="shared" si="1"/>
        <v>0</v>
      </c>
      <c r="AC18" s="22">
        <v>0</v>
      </c>
      <c r="AD18" s="22">
        <v>0</v>
      </c>
      <c r="AE18" s="22">
        <v>0</v>
      </c>
      <c r="AF18" s="123"/>
    </row>
    <row r="19" spans="1:32" ht="15.75" thickBot="1" x14ac:dyDescent="0.3">
      <c r="A19" s="8"/>
      <c r="B19" s="48" t="s">
        <v>27</v>
      </c>
      <c r="C19" s="49"/>
      <c r="D19" s="50">
        <v>114429000</v>
      </c>
      <c r="E19" s="50">
        <v>103934000</v>
      </c>
      <c r="F19" s="50">
        <v>92088000</v>
      </c>
      <c r="G19" s="50">
        <v>89551000</v>
      </c>
      <c r="H19" s="51">
        <v>400002000</v>
      </c>
      <c r="I19" s="50">
        <v>88805000</v>
      </c>
      <c r="J19" s="50">
        <v>86050000</v>
      </c>
      <c r="K19" s="50">
        <v>81586000</v>
      </c>
      <c r="L19" s="50">
        <v>83175000</v>
      </c>
      <c r="M19" s="51">
        <v>339616000</v>
      </c>
      <c r="N19" s="50">
        <v>86328000</v>
      </c>
      <c r="O19" s="50">
        <v>80380000</v>
      </c>
      <c r="P19" s="50">
        <v>80113000</v>
      </c>
      <c r="Q19" s="50">
        <v>86977002.000000015</v>
      </c>
      <c r="R19" s="51">
        <v>333798004.00000006</v>
      </c>
      <c r="S19" s="50">
        <v>88315000</v>
      </c>
      <c r="T19" s="50">
        <v>71391000</v>
      </c>
      <c r="U19" s="50">
        <v>78727000</v>
      </c>
      <c r="V19" s="50">
        <v>82677000</v>
      </c>
      <c r="W19" s="51">
        <v>321110000</v>
      </c>
      <c r="X19" s="50">
        <v>134250000</v>
      </c>
      <c r="Y19" s="50">
        <v>200530000</v>
      </c>
      <c r="Z19" s="50">
        <v>194415000</v>
      </c>
      <c r="AA19" s="50">
        <f>AA11-AA15-AA16</f>
        <v>185393000</v>
      </c>
      <c r="AB19" s="51">
        <f t="shared" si="1"/>
        <v>714588000</v>
      </c>
      <c r="AC19" s="50">
        <f>AC11-AC15-AC16</f>
        <v>161375000</v>
      </c>
      <c r="AD19" s="50">
        <f>AD11-AD15-AD16</f>
        <v>165081119.66999999</v>
      </c>
      <c r="AE19" s="50">
        <v>152434000</v>
      </c>
      <c r="AF19" s="123"/>
    </row>
    <row r="20" spans="1:32" ht="16.899999999999999" customHeight="1" x14ac:dyDescent="0.25">
      <c r="A20" s="8"/>
      <c r="B20" s="53" t="s">
        <v>28</v>
      </c>
      <c r="C20" s="54"/>
      <c r="D20" s="55">
        <v>0.48787444680361208</v>
      </c>
      <c r="E20" s="55">
        <v>0.51118182578287541</v>
      </c>
      <c r="F20" s="55">
        <v>0.4996825706890658</v>
      </c>
      <c r="G20" s="55">
        <v>0.50931313165782277</v>
      </c>
      <c r="H20" s="56">
        <v>0.50126380504945567</v>
      </c>
      <c r="I20" s="55">
        <v>0.45081883991755761</v>
      </c>
      <c r="J20" s="55">
        <v>0.48069671696152749</v>
      </c>
      <c r="K20" s="55">
        <v>0.47040440964494518</v>
      </c>
      <c r="L20" s="55">
        <v>0.48042766292952571</v>
      </c>
      <c r="M20" s="56">
        <v>0.47001641381639225</v>
      </c>
      <c r="N20" s="55">
        <v>0.43927906290389879</v>
      </c>
      <c r="O20" s="55">
        <v>0.45569735074182632</v>
      </c>
      <c r="P20" s="55">
        <v>0.434</v>
      </c>
      <c r="Q20" s="55">
        <v>0.45332867820624762</v>
      </c>
      <c r="R20" s="56">
        <v>0.44550356528705476</v>
      </c>
      <c r="S20" s="55">
        <v>0.40899999999999997</v>
      </c>
      <c r="T20" s="55">
        <v>0.373</v>
      </c>
      <c r="U20" s="55">
        <v>0.39039665970772441</v>
      </c>
      <c r="V20" s="55">
        <v>0.41099999999999998</v>
      </c>
      <c r="W20" s="56">
        <v>0.39600000000000002</v>
      </c>
      <c r="X20" s="55">
        <f>X19/X11</f>
        <v>0.29347533823442612</v>
      </c>
      <c r="Y20" s="55">
        <v>0.31565766276287621</v>
      </c>
      <c r="Z20" s="55">
        <v>0.312</v>
      </c>
      <c r="AA20" s="55">
        <v>0.30299999999999999</v>
      </c>
      <c r="AB20" s="56">
        <v>0.307</v>
      </c>
      <c r="AC20" s="55">
        <f>AC19/AC11</f>
        <v>0.26923789201120496</v>
      </c>
      <c r="AD20" s="55">
        <f>AD19/AD11</f>
        <v>0.31137394185962192</v>
      </c>
      <c r="AE20" s="55">
        <f>AE19/AE11</f>
        <v>0.30217980842425779</v>
      </c>
      <c r="AF20" s="123"/>
    </row>
    <row r="21" spans="1:32" ht="19.149999999999999" customHeight="1" x14ac:dyDescent="0.25">
      <c r="A21" s="8"/>
      <c r="B21" s="48" t="s">
        <v>29</v>
      </c>
      <c r="C21" s="49"/>
      <c r="D21" s="48"/>
      <c r="E21" s="48"/>
      <c r="F21" s="48"/>
      <c r="G21" s="48"/>
      <c r="H21" s="57"/>
      <c r="I21" s="48"/>
      <c r="J21" s="48"/>
      <c r="K21" s="48"/>
      <c r="L21" s="48"/>
      <c r="M21" s="57"/>
      <c r="N21" s="48"/>
      <c r="O21" s="48"/>
      <c r="P21" s="48"/>
      <c r="Q21" s="48"/>
      <c r="R21" s="57"/>
      <c r="S21" s="48"/>
      <c r="T21" s="48"/>
      <c r="U21" s="48"/>
      <c r="V21" s="48"/>
      <c r="W21" s="57"/>
      <c r="X21" s="48"/>
      <c r="Y21" s="48"/>
      <c r="Z21" s="48"/>
      <c r="AA21" s="48"/>
      <c r="AB21" s="57"/>
      <c r="AC21" s="48"/>
      <c r="AD21" s="48"/>
      <c r="AE21" s="48"/>
      <c r="AF21" s="123"/>
    </row>
    <row r="22" spans="1:32" x14ac:dyDescent="0.25">
      <c r="A22" s="8"/>
      <c r="B22" s="20" t="s">
        <v>30</v>
      </c>
      <c r="C22" s="24"/>
      <c r="D22" s="22">
        <v>42120000</v>
      </c>
      <c r="E22" s="22">
        <v>38179000</v>
      </c>
      <c r="F22" s="22">
        <v>35666000</v>
      </c>
      <c r="G22" s="22">
        <v>33217000</v>
      </c>
      <c r="H22" s="47">
        <v>149182000</v>
      </c>
      <c r="I22" s="22">
        <v>33447000</v>
      </c>
      <c r="J22" s="22">
        <v>28362000</v>
      </c>
      <c r="K22" s="22">
        <v>29130000</v>
      </c>
      <c r="L22" s="22">
        <v>28849000</v>
      </c>
      <c r="M22" s="47">
        <v>119788000</v>
      </c>
      <c r="N22" s="22">
        <v>30777000</v>
      </c>
      <c r="O22" s="22">
        <v>29353000</v>
      </c>
      <c r="P22" s="22">
        <v>29787000</v>
      </c>
      <c r="Q22" s="22">
        <v>29416002</v>
      </c>
      <c r="R22" s="47">
        <v>119333003</v>
      </c>
      <c r="S22" s="22">
        <v>29001000</v>
      </c>
      <c r="T22" s="22">
        <v>17041000</v>
      </c>
      <c r="U22" s="22">
        <v>26039000</v>
      </c>
      <c r="V22" s="22">
        <f>W22-U22-T22-S22</f>
        <v>25971000</v>
      </c>
      <c r="W22" s="47">
        <v>98052000</v>
      </c>
      <c r="X22" s="22">
        <v>32177000</v>
      </c>
      <c r="Y22" s="22">
        <v>34509000</v>
      </c>
      <c r="Z22" s="22">
        <v>32989000</v>
      </c>
      <c r="AA22" s="22">
        <v>32165000</v>
      </c>
      <c r="AB22" s="47">
        <f t="shared" ref="AB22:AB26" si="2">SUM(X22:AA22)</f>
        <v>131840000</v>
      </c>
      <c r="AC22" s="22">
        <v>33185000</v>
      </c>
      <c r="AD22" s="22">
        <v>30943799.770000003</v>
      </c>
      <c r="AE22" s="22">
        <v>26807000</v>
      </c>
      <c r="AF22" s="123"/>
    </row>
    <row r="23" spans="1:32" x14ac:dyDescent="0.25">
      <c r="A23" s="8"/>
      <c r="B23" s="20" t="s">
        <v>31</v>
      </c>
      <c r="C23" s="24"/>
      <c r="D23" s="22">
        <v>39112000</v>
      </c>
      <c r="E23" s="22">
        <v>37725000</v>
      </c>
      <c r="F23" s="22">
        <v>36747000</v>
      </c>
      <c r="G23" s="22">
        <v>49005000</v>
      </c>
      <c r="H23" s="47">
        <v>162589000</v>
      </c>
      <c r="I23" s="22">
        <v>33551000</v>
      </c>
      <c r="J23" s="22">
        <v>24719000</v>
      </c>
      <c r="K23" s="22">
        <v>23727000</v>
      </c>
      <c r="L23" s="22">
        <v>28977000</v>
      </c>
      <c r="M23" s="47">
        <v>110974000</v>
      </c>
      <c r="N23" s="22">
        <v>31640000</v>
      </c>
      <c r="O23" s="22">
        <v>27504000</v>
      </c>
      <c r="P23" s="22">
        <v>26948000</v>
      </c>
      <c r="Q23" s="22">
        <v>37976000</v>
      </c>
      <c r="R23" s="47">
        <v>124068000</v>
      </c>
      <c r="S23" s="22">
        <v>38231000</v>
      </c>
      <c r="T23" s="22">
        <v>45682000</v>
      </c>
      <c r="U23" s="22">
        <v>33414000</v>
      </c>
      <c r="V23" s="22">
        <f>W23-U23-T23-S23</f>
        <v>34162000</v>
      </c>
      <c r="W23" s="47">
        <v>151489000</v>
      </c>
      <c r="X23" s="22">
        <v>56220000</v>
      </c>
      <c r="Y23" s="22">
        <v>74131000</v>
      </c>
      <c r="Z23" s="22">
        <v>73086000</v>
      </c>
      <c r="AA23" s="22">
        <v>92287000</v>
      </c>
      <c r="AB23" s="47">
        <f t="shared" si="2"/>
        <v>295724000</v>
      </c>
      <c r="AC23" s="22">
        <v>97591000</v>
      </c>
      <c r="AD23" s="22">
        <v>80753021.479999989</v>
      </c>
      <c r="AE23" s="22">
        <v>61738000</v>
      </c>
      <c r="AF23" s="123"/>
    </row>
    <row r="24" spans="1:32" x14ac:dyDescent="0.25">
      <c r="A24" s="8"/>
      <c r="B24" s="15" t="s">
        <v>32</v>
      </c>
      <c r="C24" s="24"/>
      <c r="D24" s="22">
        <v>2211000</v>
      </c>
      <c r="E24" s="22">
        <v>2396000</v>
      </c>
      <c r="F24" s="22">
        <v>3281000</v>
      </c>
      <c r="G24" s="22">
        <v>2238000</v>
      </c>
      <c r="H24" s="47">
        <v>10126000</v>
      </c>
      <c r="I24" s="22">
        <v>1465000</v>
      </c>
      <c r="J24" s="22">
        <v>3294000</v>
      </c>
      <c r="K24" s="22">
        <v>1588000</v>
      </c>
      <c r="L24" s="22">
        <v>1540000</v>
      </c>
      <c r="M24" s="47">
        <v>7887000</v>
      </c>
      <c r="N24" s="22">
        <v>1794000</v>
      </c>
      <c r="O24" s="22">
        <v>441000</v>
      </c>
      <c r="P24" s="22">
        <v>1075000</v>
      </c>
      <c r="Q24" s="22">
        <v>1988000</v>
      </c>
      <c r="R24" s="47">
        <v>5298000</v>
      </c>
      <c r="S24" s="22">
        <v>2257000</v>
      </c>
      <c r="T24" s="22">
        <v>1801000</v>
      </c>
      <c r="U24" s="22">
        <v>2626000</v>
      </c>
      <c r="V24" s="22">
        <f>W24-U24-T24-S24</f>
        <v>4260000</v>
      </c>
      <c r="W24" s="47">
        <v>10944000</v>
      </c>
      <c r="X24" s="22">
        <v>5112000</v>
      </c>
      <c r="Y24" s="22">
        <v>4566000</v>
      </c>
      <c r="Z24" s="22">
        <v>1889000</v>
      </c>
      <c r="AA24" s="22">
        <v>2385000</v>
      </c>
      <c r="AB24" s="47">
        <f t="shared" si="2"/>
        <v>13952000</v>
      </c>
      <c r="AC24" s="22">
        <v>1555000</v>
      </c>
      <c r="AD24" s="22">
        <v>402155.04</v>
      </c>
      <c r="AE24" s="22">
        <v>303000</v>
      </c>
      <c r="AF24" s="123"/>
    </row>
    <row r="25" spans="1:32" x14ac:dyDescent="0.25">
      <c r="A25" s="8"/>
      <c r="B25" s="58" t="s">
        <v>33</v>
      </c>
      <c r="C25" s="59"/>
      <c r="D25" s="22">
        <v>786000</v>
      </c>
      <c r="E25" s="22">
        <v>629000</v>
      </c>
      <c r="F25" s="22">
        <v>568000</v>
      </c>
      <c r="G25" s="22">
        <v>515000</v>
      </c>
      <c r="H25" s="47">
        <v>2498000</v>
      </c>
      <c r="I25" s="22">
        <v>435000</v>
      </c>
      <c r="J25" s="22">
        <v>432000</v>
      </c>
      <c r="K25" s="22">
        <v>421000</v>
      </c>
      <c r="L25" s="22">
        <v>389000</v>
      </c>
      <c r="M25" s="47">
        <v>1677000</v>
      </c>
      <c r="N25" s="22">
        <v>348000</v>
      </c>
      <c r="O25" s="22">
        <v>313000</v>
      </c>
      <c r="P25" s="22">
        <v>379000</v>
      </c>
      <c r="Q25" s="22">
        <v>493000</v>
      </c>
      <c r="R25" s="47">
        <v>1533000</v>
      </c>
      <c r="S25" s="22">
        <v>527000</v>
      </c>
      <c r="T25" s="22">
        <v>474000</v>
      </c>
      <c r="U25" s="22">
        <v>541000</v>
      </c>
      <c r="V25" s="22">
        <f>W25-U25-T25-S25</f>
        <v>524000</v>
      </c>
      <c r="W25" s="47">
        <v>2066000</v>
      </c>
      <c r="X25" s="22">
        <v>474000</v>
      </c>
      <c r="Y25" s="22">
        <v>524000</v>
      </c>
      <c r="Z25" s="22">
        <v>570000</v>
      </c>
      <c r="AA25" s="22">
        <v>554000</v>
      </c>
      <c r="AB25" s="47">
        <f t="shared" si="2"/>
        <v>2122000</v>
      </c>
      <c r="AC25" s="22">
        <v>582000</v>
      </c>
      <c r="AD25" s="22">
        <v>474877.62999999995</v>
      </c>
      <c r="AE25" s="22">
        <v>439000</v>
      </c>
      <c r="AF25" s="123"/>
    </row>
    <row r="26" spans="1:32" ht="15.75" thickBot="1" x14ac:dyDescent="0.3">
      <c r="A26" s="8"/>
      <c r="B26" s="15" t="s">
        <v>34</v>
      </c>
      <c r="C26" s="61"/>
      <c r="D26" s="50">
        <v>84229000</v>
      </c>
      <c r="E26" s="50">
        <v>78929000</v>
      </c>
      <c r="F26" s="50">
        <v>76262000</v>
      </c>
      <c r="G26" s="50">
        <v>84974000</v>
      </c>
      <c r="H26" s="51">
        <v>324394000</v>
      </c>
      <c r="I26" s="50">
        <v>68898000</v>
      </c>
      <c r="J26" s="50">
        <v>56807000</v>
      </c>
      <c r="K26" s="50">
        <v>54866000</v>
      </c>
      <c r="L26" s="50">
        <v>59755000</v>
      </c>
      <c r="M26" s="51">
        <v>240326000</v>
      </c>
      <c r="N26" s="50">
        <v>64559000</v>
      </c>
      <c r="O26" s="50">
        <v>57611000</v>
      </c>
      <c r="P26" s="50">
        <v>58189000</v>
      </c>
      <c r="Q26" s="50">
        <v>69873002.000000015</v>
      </c>
      <c r="R26" s="51">
        <v>250232003</v>
      </c>
      <c r="S26" s="50">
        <v>70016000</v>
      </c>
      <c r="T26" s="50">
        <v>64998000</v>
      </c>
      <c r="U26" s="50">
        <v>62620000</v>
      </c>
      <c r="V26" s="50">
        <v>64917000</v>
      </c>
      <c r="W26" s="51">
        <v>262551000</v>
      </c>
      <c r="X26" s="50">
        <v>93983000</v>
      </c>
      <c r="Y26" s="50">
        <v>113730000</v>
      </c>
      <c r="Z26" s="50">
        <v>108534000</v>
      </c>
      <c r="AA26" s="50">
        <v>127391000</v>
      </c>
      <c r="AB26" s="51">
        <f t="shared" si="2"/>
        <v>443638000</v>
      </c>
      <c r="AC26" s="50">
        <f>SUM(AC22:AC25)</f>
        <v>132913000</v>
      </c>
      <c r="AD26" s="50">
        <f>SUM(AD22:AD25)</f>
        <v>112573853.92</v>
      </c>
      <c r="AE26" s="50">
        <v>89287000</v>
      </c>
      <c r="AF26" s="123"/>
    </row>
    <row r="27" spans="1:32" ht="5.45" customHeight="1" x14ac:dyDescent="0.25">
      <c r="A27" s="8"/>
      <c r="B27" s="15"/>
      <c r="C27" s="40"/>
      <c r="D27" s="8"/>
      <c r="E27" s="8"/>
      <c r="F27" s="8"/>
      <c r="G27" s="8"/>
      <c r="H27" s="47"/>
      <c r="I27" s="8"/>
      <c r="J27" s="8"/>
      <c r="K27" s="8"/>
      <c r="L27" s="8"/>
      <c r="M27" s="47"/>
      <c r="N27" s="8"/>
      <c r="O27" s="8"/>
      <c r="P27" s="8"/>
      <c r="Q27" s="8"/>
      <c r="R27" s="47"/>
      <c r="S27" s="8"/>
      <c r="T27" s="8"/>
      <c r="U27" s="8"/>
      <c r="V27" s="8"/>
      <c r="W27" s="47"/>
      <c r="X27" s="8"/>
      <c r="Y27" s="8"/>
      <c r="Z27" s="8"/>
      <c r="AA27" s="8"/>
      <c r="AB27" s="47"/>
      <c r="AC27" s="8"/>
      <c r="AD27" s="8"/>
      <c r="AE27" s="8"/>
      <c r="AF27" s="123"/>
    </row>
    <row r="28" spans="1:32" ht="16.5" thickBot="1" x14ac:dyDescent="0.3">
      <c r="A28" s="8"/>
      <c r="B28" s="15" t="s">
        <v>63</v>
      </c>
      <c r="C28" s="61"/>
      <c r="D28" s="62">
        <v>30200000</v>
      </c>
      <c r="E28" s="62">
        <v>25005000</v>
      </c>
      <c r="F28" s="62">
        <v>15826000</v>
      </c>
      <c r="G28" s="62">
        <v>4577000</v>
      </c>
      <c r="H28" s="100">
        <v>75608000</v>
      </c>
      <c r="I28" s="62">
        <v>19907000</v>
      </c>
      <c r="J28" s="62">
        <v>29243000</v>
      </c>
      <c r="K28" s="62">
        <v>26720000</v>
      </c>
      <c r="L28" s="62">
        <v>23420000</v>
      </c>
      <c r="M28" s="100">
        <v>99290000</v>
      </c>
      <c r="N28" s="62">
        <v>21769000</v>
      </c>
      <c r="O28" s="62">
        <v>22769000</v>
      </c>
      <c r="P28" s="62">
        <v>21924000</v>
      </c>
      <c r="Q28" s="62">
        <v>17104000</v>
      </c>
      <c r="R28" s="100">
        <v>83566001</v>
      </c>
      <c r="S28" s="62">
        <v>18299000</v>
      </c>
      <c r="T28" s="62">
        <v>6393000</v>
      </c>
      <c r="U28" s="62">
        <v>16107000</v>
      </c>
      <c r="V28" s="62">
        <f>W28-U28-T28-S28</f>
        <v>17760000</v>
      </c>
      <c r="W28" s="100">
        <v>58559000</v>
      </c>
      <c r="X28" s="62">
        <v>40267000</v>
      </c>
      <c r="Y28" s="62">
        <v>86800000</v>
      </c>
      <c r="Z28" s="62">
        <v>85881000</v>
      </c>
      <c r="AA28" s="62">
        <v>58001000</v>
      </c>
      <c r="AB28" s="100">
        <f>SUM(X28:AA28)</f>
        <v>270949000</v>
      </c>
      <c r="AC28" s="62">
        <f>+AC19-AC26</f>
        <v>28462000</v>
      </c>
      <c r="AD28" s="62">
        <f>+AD19-AD26</f>
        <v>52507265.749999985</v>
      </c>
      <c r="AE28" s="62">
        <v>63146599.779999986</v>
      </c>
      <c r="AF28" s="123"/>
    </row>
    <row r="29" spans="1:32" ht="15.75" thickBot="1" x14ac:dyDescent="0.3">
      <c r="A29" s="8"/>
      <c r="B29" s="53" t="s">
        <v>28</v>
      </c>
      <c r="C29" s="54"/>
      <c r="D29" s="55">
        <v>0.12875939048203763</v>
      </c>
      <c r="E29" s="55">
        <v>0.1229828694527373</v>
      </c>
      <c r="F29" s="55">
        <v>8.5874124356323897E-2</v>
      </c>
      <c r="G29" s="55">
        <v>2.6031269372735699E-2</v>
      </c>
      <c r="H29" s="101">
        <v>9.474841068839468E-2</v>
      </c>
      <c r="I29" s="55">
        <v>0.10105794320408557</v>
      </c>
      <c r="J29" s="55">
        <v>0.16335867628246309</v>
      </c>
      <c r="K29" s="55">
        <v>0.15406081712196865</v>
      </c>
      <c r="L29" s="55">
        <v>0.13527641557931461</v>
      </c>
      <c r="M29" s="101">
        <v>0.137413813624298</v>
      </c>
      <c r="N29" s="55">
        <v>0.11078149011306622</v>
      </c>
      <c r="O29" s="55">
        <v>0.12908401317542478</v>
      </c>
      <c r="P29" s="55">
        <v>0.11899999999999999</v>
      </c>
      <c r="Q29" s="55">
        <v>8.914694153334532E-2</v>
      </c>
      <c r="R29" s="101">
        <v>0.11153137806744218</v>
      </c>
      <c r="S29" s="55">
        <v>8.5000000000000006E-2</v>
      </c>
      <c r="T29" s="55">
        <v>3.3000000000000002E-2</v>
      </c>
      <c r="U29" s="55">
        <v>7.9872457961211743E-2</v>
      </c>
      <c r="V29" s="55">
        <v>8.7999999999999995E-2</v>
      </c>
      <c r="W29" s="101">
        <v>7.1999999999999995E-2</v>
      </c>
      <c r="X29" s="55">
        <f>X28/X11</f>
        <v>8.8025113182015918E-2</v>
      </c>
      <c r="Y29" s="55">
        <v>0.13745907316458883</v>
      </c>
      <c r="Z29" s="55">
        <v>0.13800000000000001</v>
      </c>
      <c r="AA29" s="55">
        <v>9.5000000000000001E-2</v>
      </c>
      <c r="AB29" s="101">
        <v>0.11600000000000001</v>
      </c>
      <c r="AC29" s="55">
        <f>AC28/AC11</f>
        <v>4.7485972935231081E-2</v>
      </c>
      <c r="AD29" s="55">
        <f>AD28/AD11</f>
        <v>9.9038547506407365E-2</v>
      </c>
      <c r="AE29" s="55">
        <f>AE28/AE11</f>
        <v>0.12517960182218976</v>
      </c>
      <c r="AF29" s="123"/>
    </row>
    <row r="30" spans="1:32" x14ac:dyDescent="0.25">
      <c r="A30" s="48"/>
      <c r="B30" s="48"/>
      <c r="C30" s="49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AA30" s="48"/>
      <c r="AB30" s="48"/>
      <c r="AF30" s="123"/>
    </row>
    <row r="31" spans="1:32" ht="28.9" customHeight="1" x14ac:dyDescent="0.25">
      <c r="A31" s="8"/>
      <c r="B31" s="147" t="s">
        <v>118</v>
      </c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AF31" s="123"/>
    </row>
    <row r="32" spans="1:32" ht="15.75" x14ac:dyDescent="0.25">
      <c r="A32" s="8"/>
      <c r="B32" s="102" t="s">
        <v>73</v>
      </c>
      <c r="C32" s="4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AA32" s="8"/>
      <c r="AB32" s="8"/>
    </row>
    <row r="33" spans="1:28" ht="15.75" x14ac:dyDescent="0.25">
      <c r="A33" s="8"/>
      <c r="B33" s="102" t="s">
        <v>74</v>
      </c>
      <c r="C33" s="4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AA33" s="8"/>
      <c r="AB33" s="8"/>
    </row>
    <row r="34" spans="1:28" ht="15.75" x14ac:dyDescent="0.25">
      <c r="A34" s="8"/>
      <c r="B34" s="102" t="s">
        <v>75</v>
      </c>
      <c r="C34" s="4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AA34" s="8"/>
      <c r="AB34" s="8"/>
    </row>
    <row r="35" spans="1:28" ht="15.75" x14ac:dyDescent="0.25">
      <c r="A35" s="8"/>
      <c r="B35" s="102" t="s">
        <v>76</v>
      </c>
      <c r="C35" s="4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AA35" s="8"/>
      <c r="AB35" s="8"/>
    </row>
    <row r="36" spans="1:28" ht="15.75" x14ac:dyDescent="0.25">
      <c r="A36" s="8"/>
      <c r="B36" s="102" t="s">
        <v>77</v>
      </c>
      <c r="C36" s="4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AA36" s="8"/>
      <c r="AB36" s="8"/>
    </row>
    <row r="37" spans="1:28" ht="15.75" x14ac:dyDescent="0.25">
      <c r="A37" s="8"/>
      <c r="B37" s="102" t="s">
        <v>78</v>
      </c>
      <c r="C37" s="104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AA37" s="8"/>
      <c r="AB37" s="8"/>
    </row>
    <row r="38" spans="1:28" ht="15.75" x14ac:dyDescent="0.25">
      <c r="A38" s="8"/>
      <c r="B38" s="102" t="s">
        <v>79</v>
      </c>
      <c r="C38" s="4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AA38" s="8"/>
      <c r="AB38" s="8"/>
    </row>
    <row r="39" spans="1:28" ht="15.75" x14ac:dyDescent="0.25">
      <c r="A39" s="8"/>
      <c r="B39" s="102" t="s">
        <v>80</v>
      </c>
      <c r="C39" s="4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AA39" s="8"/>
      <c r="AB39" s="8"/>
    </row>
  </sheetData>
  <mergeCells count="5">
    <mergeCell ref="D4:G4"/>
    <mergeCell ref="I4:L4"/>
    <mergeCell ref="N4:Q4"/>
    <mergeCell ref="B31:U31"/>
    <mergeCell ref="S4:V4"/>
  </mergeCells>
  <pageMargins left="0.7" right="0.7" top="0.75" bottom="0.75" header="0.3" footer="0.3"/>
  <pageSetup scale="7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  <pageSetUpPr fitToPage="1"/>
  </sheetPr>
  <dimension ref="A1:AF44"/>
  <sheetViews>
    <sheetView showGridLines="0" view="pageBreakPreview" zoomScale="70" zoomScaleNormal="70" zoomScaleSheetLayoutView="70" workbookViewId="0">
      <pane ySplit="5" topLeftCell="A6" activePane="bottomLeft" state="frozen"/>
      <selection activeCell="AF18" sqref="AF18"/>
      <selection pane="bottomLeft" activeCell="W1" sqref="W1"/>
    </sheetView>
  </sheetViews>
  <sheetFormatPr defaultRowHeight="15" x14ac:dyDescent="0.25"/>
  <cols>
    <col min="1" max="1" width="2.7109375" customWidth="1"/>
    <col min="2" max="2" width="50.28515625" customWidth="1"/>
    <col min="3" max="3" width="1.28515625" customWidth="1"/>
    <col min="4" max="4" width="14" hidden="1" customWidth="1"/>
    <col min="5" max="5" width="14.42578125" hidden="1" customWidth="1"/>
    <col min="6" max="6" width="14.28515625" hidden="1" customWidth="1"/>
    <col min="7" max="7" width="14.5703125" hidden="1" customWidth="1"/>
    <col min="8" max="8" width="10" hidden="1" customWidth="1"/>
    <col min="9" max="22" width="12.5703125" hidden="1" customWidth="1"/>
    <col min="23" max="28" width="12.5703125" customWidth="1"/>
    <col min="29" max="30" width="16.7109375" bestFit="1" customWidth="1"/>
    <col min="31" max="31" width="16.7109375" customWidth="1"/>
    <col min="32" max="32" width="16.85546875" customWidth="1"/>
  </cols>
  <sheetData>
    <row r="1" spans="1:32" ht="28.5" x14ac:dyDescent="0.45">
      <c r="A1" s="1"/>
      <c r="B1" s="2" t="s">
        <v>0</v>
      </c>
      <c r="C1" s="3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AA1" s="1"/>
      <c r="AB1" s="1"/>
    </row>
    <row r="2" spans="1:32" ht="23.25" x14ac:dyDescent="0.35">
      <c r="A2" s="1"/>
      <c r="B2" s="4" t="s">
        <v>81</v>
      </c>
      <c r="C2" s="5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AA2" s="1"/>
      <c r="AB2" s="1"/>
    </row>
    <row r="3" spans="1:32" ht="19.5" thickBot="1" x14ac:dyDescent="0.35">
      <c r="A3" s="1"/>
      <c r="B3" s="6" t="s">
        <v>2</v>
      </c>
      <c r="C3" s="7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AA3" s="1"/>
      <c r="AB3" s="1"/>
      <c r="AF3" s="123"/>
    </row>
    <row r="4" spans="1:32" ht="16.5" thickTop="1" x14ac:dyDescent="0.25">
      <c r="A4" s="8"/>
      <c r="B4" s="9" t="s">
        <v>82</v>
      </c>
      <c r="C4" s="10"/>
      <c r="D4" s="141" t="s">
        <v>4</v>
      </c>
      <c r="E4" s="142"/>
      <c r="F4" s="142"/>
      <c r="G4" s="143"/>
      <c r="H4" s="11" t="s">
        <v>5</v>
      </c>
      <c r="I4" s="144" t="s">
        <v>4</v>
      </c>
      <c r="J4" s="145"/>
      <c r="K4" s="145"/>
      <c r="L4" s="145"/>
      <c r="M4" s="105" t="s">
        <v>5</v>
      </c>
      <c r="N4" s="149" t="s">
        <v>4</v>
      </c>
      <c r="O4" s="150"/>
      <c r="P4" s="150"/>
      <c r="Q4" s="150"/>
      <c r="R4" s="105" t="s">
        <v>5</v>
      </c>
      <c r="S4" s="149" t="s">
        <v>4</v>
      </c>
      <c r="T4" s="150"/>
      <c r="U4" s="150"/>
      <c r="V4" s="150"/>
      <c r="W4" s="105" t="s">
        <v>5</v>
      </c>
      <c r="X4" s="115" t="s">
        <v>4</v>
      </c>
      <c r="Y4" s="116" t="s">
        <v>4</v>
      </c>
      <c r="Z4" s="116" t="s">
        <v>4</v>
      </c>
      <c r="AA4" s="116" t="s">
        <v>4</v>
      </c>
      <c r="AB4" s="11" t="s">
        <v>5</v>
      </c>
      <c r="AC4" s="115" t="s">
        <v>4</v>
      </c>
      <c r="AD4" s="116" t="s">
        <v>4</v>
      </c>
      <c r="AE4" s="116" t="s">
        <v>4</v>
      </c>
      <c r="AF4" s="123"/>
    </row>
    <row r="5" spans="1:32" ht="15.75" x14ac:dyDescent="0.25">
      <c r="A5" s="8"/>
      <c r="B5" s="12" t="s">
        <v>6</v>
      </c>
      <c r="C5" s="10"/>
      <c r="D5" s="13" t="s">
        <v>83</v>
      </c>
      <c r="E5" s="13" t="s">
        <v>84</v>
      </c>
      <c r="F5" s="13" t="s">
        <v>85</v>
      </c>
      <c r="G5" s="13" t="s">
        <v>86</v>
      </c>
      <c r="H5" s="14">
        <v>2017</v>
      </c>
      <c r="I5" s="13" t="s">
        <v>87</v>
      </c>
      <c r="J5" s="13" t="s">
        <v>88</v>
      </c>
      <c r="K5" s="13" t="s">
        <v>7</v>
      </c>
      <c r="L5" s="13">
        <v>43465</v>
      </c>
      <c r="M5" s="14">
        <v>2018</v>
      </c>
      <c r="N5" s="13" t="s">
        <v>89</v>
      </c>
      <c r="O5" s="13">
        <v>43646</v>
      </c>
      <c r="P5" s="13">
        <v>43738</v>
      </c>
      <c r="Q5" s="13">
        <v>43830</v>
      </c>
      <c r="R5" s="14">
        <v>2019</v>
      </c>
      <c r="S5" s="13" t="s">
        <v>90</v>
      </c>
      <c r="T5" s="13" t="s">
        <v>10</v>
      </c>
      <c r="U5" s="13">
        <v>44104</v>
      </c>
      <c r="V5" s="13">
        <v>44196</v>
      </c>
      <c r="W5" s="14">
        <v>2020</v>
      </c>
      <c r="X5" s="13">
        <v>44286</v>
      </c>
      <c r="Y5" s="13">
        <v>44377</v>
      </c>
      <c r="Z5" s="13">
        <v>44469</v>
      </c>
      <c r="AA5" s="13">
        <v>44561</v>
      </c>
      <c r="AB5" s="14">
        <v>2021</v>
      </c>
      <c r="AC5" s="13">
        <v>44651</v>
      </c>
      <c r="AD5" s="13">
        <v>44742</v>
      </c>
      <c r="AE5" s="13">
        <v>44834</v>
      </c>
      <c r="AF5" s="125"/>
    </row>
    <row r="6" spans="1:32" x14ac:dyDescent="0.25">
      <c r="A6" s="8"/>
      <c r="B6" s="15" t="s">
        <v>11</v>
      </c>
      <c r="C6" s="16"/>
      <c r="D6" s="8"/>
      <c r="E6" s="8"/>
      <c r="F6" s="8"/>
      <c r="G6" s="8"/>
      <c r="H6" s="18"/>
      <c r="I6" s="8"/>
      <c r="J6" s="8"/>
      <c r="K6" s="8"/>
      <c r="L6" s="8"/>
      <c r="M6" s="38"/>
      <c r="N6" s="8"/>
      <c r="O6" s="8"/>
      <c r="P6" s="8"/>
      <c r="Q6" s="22"/>
      <c r="R6" s="38"/>
      <c r="S6" s="22"/>
      <c r="T6" s="8"/>
      <c r="U6" s="8"/>
      <c r="V6" s="22"/>
      <c r="W6" s="38"/>
      <c r="AA6" s="22"/>
      <c r="AB6" s="38"/>
      <c r="AF6" s="123"/>
    </row>
    <row r="7" spans="1:32" x14ac:dyDescent="0.25">
      <c r="A7" s="19"/>
      <c r="B7" s="20" t="s">
        <v>12</v>
      </c>
      <c r="C7" s="21"/>
      <c r="D7" s="22">
        <v>10378000</v>
      </c>
      <c r="E7" s="22">
        <v>11200000</v>
      </c>
      <c r="F7" s="22">
        <v>11374000</v>
      </c>
      <c r="G7" s="22">
        <v>10716000</v>
      </c>
      <c r="H7" s="23">
        <v>43668000</v>
      </c>
      <c r="I7" s="22">
        <v>11248000</v>
      </c>
      <c r="J7" s="22">
        <v>11496000</v>
      </c>
      <c r="K7" s="22">
        <v>12036000</v>
      </c>
      <c r="L7" s="22">
        <v>11649000</v>
      </c>
      <c r="M7" s="23">
        <v>46429000</v>
      </c>
      <c r="N7" s="22">
        <v>12581000</v>
      </c>
      <c r="O7" s="22">
        <v>12777000</v>
      </c>
      <c r="P7" s="22">
        <v>12663000</v>
      </c>
      <c r="Q7" s="22">
        <v>12882000</v>
      </c>
      <c r="R7" s="23">
        <v>50903000</v>
      </c>
      <c r="S7" s="22">
        <v>12837000</v>
      </c>
      <c r="T7" s="22">
        <v>9959000</v>
      </c>
      <c r="U7" s="22">
        <v>11469000</v>
      </c>
      <c r="V7" s="22">
        <f>W7-U7-T7-S7</f>
        <v>13303000</v>
      </c>
      <c r="W7" s="23">
        <v>47568000</v>
      </c>
      <c r="X7" s="22">
        <v>13707000</v>
      </c>
      <c r="Y7" s="22">
        <v>14402000</v>
      </c>
      <c r="Z7" s="22">
        <v>15108000</v>
      </c>
      <c r="AA7" s="22">
        <v>14857000</v>
      </c>
      <c r="AB7" s="23">
        <f>SUM(X7:AA7)</f>
        <v>58074000</v>
      </c>
      <c r="AC7" s="22">
        <v>14881000</v>
      </c>
      <c r="AD7" s="22">
        <v>15743186.028446745</v>
      </c>
      <c r="AE7" s="22">
        <v>15166000</v>
      </c>
      <c r="AF7" s="123"/>
    </row>
    <row r="8" spans="1:32" x14ac:dyDescent="0.25">
      <c r="A8" s="8"/>
      <c r="B8" s="20" t="s">
        <v>13</v>
      </c>
      <c r="C8" s="24"/>
      <c r="D8" s="22">
        <v>716000</v>
      </c>
      <c r="E8" s="22">
        <v>805000</v>
      </c>
      <c r="F8" s="22">
        <v>854000</v>
      </c>
      <c r="G8" s="22">
        <v>939000</v>
      </c>
      <c r="H8" s="23">
        <v>3314000</v>
      </c>
      <c r="I8" s="22">
        <v>766000</v>
      </c>
      <c r="J8" s="22">
        <v>804000</v>
      </c>
      <c r="K8" s="22">
        <v>742000</v>
      </c>
      <c r="L8" s="22">
        <v>833000</v>
      </c>
      <c r="M8" s="23">
        <v>3145000</v>
      </c>
      <c r="N8" s="22">
        <v>756000</v>
      </c>
      <c r="O8" s="22">
        <v>767000</v>
      </c>
      <c r="P8" s="22">
        <v>700000</v>
      </c>
      <c r="Q8" s="22">
        <v>800000</v>
      </c>
      <c r="R8" s="23">
        <v>3023000</v>
      </c>
      <c r="S8" s="22">
        <v>705000</v>
      </c>
      <c r="T8" s="22">
        <v>649000</v>
      </c>
      <c r="U8" s="22">
        <v>678000</v>
      </c>
      <c r="V8" s="22">
        <f t="shared" ref="V8:V11" si="0">W8-U8-T8-S8</f>
        <v>945000</v>
      </c>
      <c r="W8" s="23">
        <v>2977000</v>
      </c>
      <c r="X8" s="22">
        <v>785000</v>
      </c>
      <c r="Y8" s="22">
        <v>833000</v>
      </c>
      <c r="Z8" s="22">
        <v>776000</v>
      </c>
      <c r="AA8" s="22">
        <v>881000</v>
      </c>
      <c r="AB8" s="23">
        <f t="shared" ref="AB8:AB11" si="1">SUM(X8:AA8)</f>
        <v>3275000</v>
      </c>
      <c r="AC8" s="22">
        <v>804000</v>
      </c>
      <c r="AD8" s="22">
        <v>929289.04251969245</v>
      </c>
      <c r="AE8" s="22">
        <f>'[1]MEX Consolidated'!$HV8*1000</f>
        <v>812000</v>
      </c>
      <c r="AF8" s="123"/>
    </row>
    <row r="9" spans="1:32" x14ac:dyDescent="0.25">
      <c r="A9" s="8"/>
      <c r="B9" s="20" t="s">
        <v>14</v>
      </c>
      <c r="C9" s="24"/>
      <c r="D9" s="22">
        <v>0</v>
      </c>
      <c r="E9" s="22">
        <v>0</v>
      </c>
      <c r="F9" s="22">
        <v>0</v>
      </c>
      <c r="G9" s="22">
        <v>0</v>
      </c>
      <c r="H9" s="23">
        <v>0</v>
      </c>
      <c r="I9" s="22">
        <v>0</v>
      </c>
      <c r="J9" s="22">
        <v>0</v>
      </c>
      <c r="K9" s="22">
        <v>0</v>
      </c>
      <c r="L9" s="22">
        <v>0</v>
      </c>
      <c r="M9" s="23">
        <v>0</v>
      </c>
      <c r="N9" s="22">
        <v>0</v>
      </c>
      <c r="O9" s="22">
        <v>0</v>
      </c>
      <c r="P9" s="22">
        <v>0</v>
      </c>
      <c r="Q9" s="22">
        <v>0</v>
      </c>
      <c r="R9" s="23">
        <v>0</v>
      </c>
      <c r="S9" s="22">
        <v>0</v>
      </c>
      <c r="T9" s="22">
        <v>0</v>
      </c>
      <c r="U9" s="22">
        <v>0</v>
      </c>
      <c r="V9" s="22">
        <f t="shared" si="0"/>
        <v>0</v>
      </c>
      <c r="W9" s="23">
        <v>0</v>
      </c>
      <c r="X9" s="22">
        <v>0</v>
      </c>
      <c r="Y9" s="22">
        <v>0</v>
      </c>
      <c r="Z9" s="22">
        <v>0</v>
      </c>
      <c r="AA9" s="22">
        <v>0</v>
      </c>
      <c r="AB9" s="23">
        <f t="shared" si="1"/>
        <v>0</v>
      </c>
      <c r="AC9" s="22">
        <v>0</v>
      </c>
      <c r="AD9" s="22">
        <v>0</v>
      </c>
      <c r="AE9" s="22">
        <f>'[1]MEX Consolidated'!$HV9*1000</f>
        <v>0</v>
      </c>
      <c r="AF9" s="123"/>
    </row>
    <row r="10" spans="1:32" x14ac:dyDescent="0.25">
      <c r="A10" s="8"/>
      <c r="B10" s="20" t="s">
        <v>15</v>
      </c>
      <c r="C10" s="25"/>
      <c r="D10" s="22">
        <v>6000</v>
      </c>
      <c r="E10" s="22">
        <v>9000</v>
      </c>
      <c r="F10" s="22">
        <v>9000</v>
      </c>
      <c r="G10" s="22">
        <v>-1000</v>
      </c>
      <c r="H10" s="23">
        <v>23000</v>
      </c>
      <c r="I10" s="22">
        <v>17000</v>
      </c>
      <c r="J10" s="22">
        <v>7000</v>
      </c>
      <c r="K10" s="22">
        <v>6000</v>
      </c>
      <c r="L10" s="22">
        <v>9000</v>
      </c>
      <c r="M10" s="23">
        <v>39000</v>
      </c>
      <c r="N10" s="22">
        <v>8000</v>
      </c>
      <c r="O10" s="22">
        <v>7000</v>
      </c>
      <c r="P10" s="22">
        <v>7000</v>
      </c>
      <c r="Q10" s="22">
        <v>12000</v>
      </c>
      <c r="R10" s="23">
        <v>34000</v>
      </c>
      <c r="S10" s="22">
        <v>4000</v>
      </c>
      <c r="T10" s="22">
        <v>3000</v>
      </c>
      <c r="U10" s="22">
        <v>12000</v>
      </c>
      <c r="V10" s="22">
        <f t="shared" si="0"/>
        <v>19000</v>
      </c>
      <c r="W10" s="23">
        <v>38000</v>
      </c>
      <c r="X10" s="22">
        <v>6000</v>
      </c>
      <c r="Y10" s="22">
        <v>20000</v>
      </c>
      <c r="Z10" s="22">
        <v>33000</v>
      </c>
      <c r="AA10" s="22">
        <v>-5000</v>
      </c>
      <c r="AB10" s="23">
        <f t="shared" si="1"/>
        <v>54000</v>
      </c>
      <c r="AC10" s="120">
        <v>27000</v>
      </c>
      <c r="AD10" s="120">
        <v>28980.80084904101</v>
      </c>
      <c r="AE10" s="120">
        <f>'[1]MEX Consolidated'!$HV10*1000</f>
        <v>63000</v>
      </c>
      <c r="AF10" s="123"/>
    </row>
    <row r="11" spans="1:32" ht="15.75" thickBot="1" x14ac:dyDescent="0.3">
      <c r="A11" s="8"/>
      <c r="B11" s="26" t="s">
        <v>20</v>
      </c>
      <c r="C11" s="27"/>
      <c r="D11" s="41">
        <v>11100000</v>
      </c>
      <c r="E11" s="41">
        <v>12014000</v>
      </c>
      <c r="F11" s="41">
        <v>12237000</v>
      </c>
      <c r="G11" s="41">
        <v>11654000</v>
      </c>
      <c r="H11" s="42">
        <v>47005000</v>
      </c>
      <c r="I11" s="41">
        <v>12031000</v>
      </c>
      <c r="J11" s="41">
        <v>12307000</v>
      </c>
      <c r="K11" s="41">
        <v>12784000</v>
      </c>
      <c r="L11" s="41">
        <v>12491000</v>
      </c>
      <c r="M11" s="42">
        <v>49613000</v>
      </c>
      <c r="N11" s="41">
        <v>13345000</v>
      </c>
      <c r="O11" s="41">
        <v>13551000</v>
      </c>
      <c r="P11" s="41">
        <v>13370000</v>
      </c>
      <c r="Q11" s="41">
        <v>13694000</v>
      </c>
      <c r="R11" s="42">
        <v>53960000</v>
      </c>
      <c r="S11" s="41">
        <v>13546000</v>
      </c>
      <c r="T11" s="41">
        <v>10611000</v>
      </c>
      <c r="U11" s="41">
        <v>12159000</v>
      </c>
      <c r="V11" s="41">
        <f t="shared" si="0"/>
        <v>14267000</v>
      </c>
      <c r="W11" s="42">
        <v>50583000</v>
      </c>
      <c r="X11" s="98">
        <v>14498000</v>
      </c>
      <c r="Y11" s="98">
        <v>15255000</v>
      </c>
      <c r="Z11" s="98">
        <v>15917000</v>
      </c>
      <c r="AA11" s="41">
        <v>15733000</v>
      </c>
      <c r="AB11" s="42">
        <f t="shared" si="1"/>
        <v>61403000</v>
      </c>
      <c r="AC11" s="98">
        <f>SUM(AC7:AC10)</f>
        <v>15712000</v>
      </c>
      <c r="AD11" s="98">
        <f>SUM(AD7:AD10)</f>
        <v>16701455.871815478</v>
      </c>
      <c r="AE11" s="98">
        <f>'[1]MEX Consolidated'!$HV11*1000</f>
        <v>16040000</v>
      </c>
      <c r="AF11" s="123"/>
    </row>
    <row r="12" spans="1:32" ht="15" customHeight="1" x14ac:dyDescent="0.25">
      <c r="A12" s="8"/>
      <c r="B12" s="15" t="s">
        <v>21</v>
      </c>
      <c r="C12" s="8"/>
      <c r="D12" s="43">
        <v>-0.19266855771328828</v>
      </c>
      <c r="E12" s="43">
        <v>-9.743820900007516E-2</v>
      </c>
      <c r="F12" s="43">
        <v>-1.742412076441302E-2</v>
      </c>
      <c r="G12" s="43">
        <v>2.1116270919127267E-2</v>
      </c>
      <c r="H12" s="44">
        <v>-7.7012193924637207E-2</v>
      </c>
      <c r="I12" s="43">
        <v>8.3873873873873794E-2</v>
      </c>
      <c r="J12" s="43">
        <v>2.4388213750624166E-2</v>
      </c>
      <c r="K12" s="43">
        <v>4.4700498488191548E-2</v>
      </c>
      <c r="L12" s="43">
        <v>7.1820834048395399E-2</v>
      </c>
      <c r="M12" s="44">
        <v>5.5483459206467398E-2</v>
      </c>
      <c r="N12" s="43">
        <v>0.10921785387748317</v>
      </c>
      <c r="O12" s="43">
        <v>0.10108068578857561</v>
      </c>
      <c r="P12" s="43">
        <v>4.5999999999999999E-2</v>
      </c>
      <c r="Q12" s="43">
        <v>9.6309342726763267E-2</v>
      </c>
      <c r="R12" s="44">
        <v>8.7618164593957229E-2</v>
      </c>
      <c r="S12" s="43">
        <v>1.4999999999999999E-2</v>
      </c>
      <c r="T12" s="43">
        <v>-0.217</v>
      </c>
      <c r="U12" s="43">
        <v>-9.0575916230366496E-2</v>
      </c>
      <c r="V12" s="43">
        <v>4.2000000000000003E-2</v>
      </c>
      <c r="W12" s="44">
        <v>-6.3E-2</v>
      </c>
      <c r="X12" s="99">
        <f>(X11-S11)/S11</f>
        <v>7.0279049165805407E-2</v>
      </c>
      <c r="Y12" s="99">
        <v>0.43765903307888043</v>
      </c>
      <c r="Z12" s="99">
        <v>0.309</v>
      </c>
      <c r="AA12" s="43">
        <v>0.10299999999999999</v>
      </c>
      <c r="AB12" s="44">
        <v>0.214</v>
      </c>
      <c r="AC12" s="99">
        <f>(AC11-X11)/X11</f>
        <v>8.3735687681059462E-2</v>
      </c>
      <c r="AD12" s="99">
        <f>(AD11-Y11)/Y11</f>
        <v>9.4818477339592158E-2</v>
      </c>
      <c r="AE12" s="99">
        <f>(AE11-Z11)/Z11</f>
        <v>7.7275868568197521E-3</v>
      </c>
      <c r="AF12" s="123"/>
    </row>
    <row r="13" spans="1:32" ht="18" customHeight="1" x14ac:dyDescent="0.25">
      <c r="A13" s="8"/>
      <c r="B13" s="26" t="s">
        <v>91</v>
      </c>
      <c r="C13" s="35"/>
      <c r="D13" s="36">
        <v>-6.0199999999999997E-2</v>
      </c>
      <c r="E13" s="36">
        <v>-6.8500000000000005E-2</v>
      </c>
      <c r="F13" s="36">
        <v>-6.1899999999999997E-2</v>
      </c>
      <c r="G13" s="36">
        <v>-2.2499999999999999E-2</v>
      </c>
      <c r="H13" s="37">
        <v>-5.1299999999999998E-2</v>
      </c>
      <c r="I13" s="36">
        <v>7.1999999999999998E-3</v>
      </c>
      <c r="J13" s="36">
        <v>7.1199999999999999E-2</v>
      </c>
      <c r="K13" s="36">
        <v>0.12759999999999999</v>
      </c>
      <c r="L13" s="36">
        <v>0.1376</v>
      </c>
      <c r="M13" s="37">
        <v>8.48E-2</v>
      </c>
      <c r="N13" s="36">
        <v>0.1305</v>
      </c>
      <c r="O13" s="36">
        <v>0.1023</v>
      </c>
      <c r="P13" s="36">
        <v>8.1000000000000003E-2</v>
      </c>
      <c r="Q13" s="36">
        <v>7.6200000000000004E-2</v>
      </c>
      <c r="R13" s="37">
        <v>9.6799999999999997E-2</v>
      </c>
      <c r="S13" s="36">
        <v>7.0999999999999994E-2</v>
      </c>
      <c r="T13" s="36">
        <v>-2.5999999999999999E-2</v>
      </c>
      <c r="U13" s="36">
        <v>4.2999999999999997E-2</v>
      </c>
      <c r="V13" s="36">
        <v>0.105</v>
      </c>
      <c r="W13" s="37">
        <v>5.1999999999999998E-2</v>
      </c>
      <c r="X13" s="36">
        <v>9.6199999999999994E-2</v>
      </c>
      <c r="Y13" s="36">
        <v>0.2155</v>
      </c>
      <c r="Z13" s="36">
        <v>0.153</v>
      </c>
      <c r="AA13" s="36">
        <v>8.5999999999999993E-2</v>
      </c>
      <c r="AB13" s="37">
        <v>0.13600000000000001</v>
      </c>
      <c r="AC13" s="36">
        <v>7.5999999999999998E-2</v>
      </c>
      <c r="AD13" s="36">
        <v>7.2999999999999995E-2</v>
      </c>
      <c r="AE13" s="36">
        <v>1.5E-3</v>
      </c>
      <c r="AF13" s="123"/>
    </row>
    <row r="14" spans="1:32" ht="22.15" customHeight="1" x14ac:dyDescent="0.25">
      <c r="A14" s="8"/>
      <c r="B14" s="15" t="s">
        <v>22</v>
      </c>
      <c r="C14" s="40"/>
      <c r="D14" s="8"/>
      <c r="E14" s="8"/>
      <c r="F14" s="8"/>
      <c r="G14" s="8"/>
      <c r="H14" s="46"/>
      <c r="I14" s="8"/>
      <c r="J14" s="8"/>
      <c r="K14" s="8"/>
      <c r="L14" s="8" t="s">
        <v>61</v>
      </c>
      <c r="M14" s="46" t="s">
        <v>61</v>
      </c>
      <c r="N14" s="8"/>
      <c r="O14" s="8"/>
      <c r="P14" s="8"/>
      <c r="Q14" s="8"/>
      <c r="R14" s="46"/>
      <c r="S14" s="8"/>
      <c r="T14" s="8"/>
      <c r="U14" s="8"/>
      <c r="V14" s="8"/>
      <c r="W14" s="46"/>
      <c r="X14" s="8"/>
      <c r="Y14" s="8"/>
      <c r="Z14" s="8"/>
      <c r="AA14" s="8"/>
      <c r="AB14" s="46"/>
      <c r="AC14" s="8"/>
      <c r="AD14" s="8"/>
      <c r="AE14" s="8"/>
      <c r="AF14" s="123"/>
    </row>
    <row r="15" spans="1:32" x14ac:dyDescent="0.25">
      <c r="A15" s="8"/>
      <c r="B15" s="20" t="s">
        <v>23</v>
      </c>
      <c r="C15" s="24"/>
      <c r="D15" s="22">
        <v>2720000</v>
      </c>
      <c r="E15" s="22">
        <v>2994000</v>
      </c>
      <c r="F15" s="22">
        <v>3079000</v>
      </c>
      <c r="G15" s="22">
        <v>2962000</v>
      </c>
      <c r="H15" s="47">
        <v>11755000</v>
      </c>
      <c r="I15" s="22">
        <v>3090000</v>
      </c>
      <c r="J15" s="22">
        <v>3117000</v>
      </c>
      <c r="K15" s="22">
        <v>3242000</v>
      </c>
      <c r="L15" s="22">
        <v>3152000</v>
      </c>
      <c r="M15" s="47">
        <v>12601000</v>
      </c>
      <c r="N15" s="22">
        <v>3454000</v>
      </c>
      <c r="O15" s="22">
        <v>3544000</v>
      </c>
      <c r="P15" s="22">
        <v>3530000</v>
      </c>
      <c r="Q15" s="22">
        <v>3537000</v>
      </c>
      <c r="R15" s="47">
        <v>14065000</v>
      </c>
      <c r="S15" s="22">
        <v>3483000</v>
      </c>
      <c r="T15" s="22">
        <v>2703000</v>
      </c>
      <c r="U15" s="22">
        <v>3021000</v>
      </c>
      <c r="V15" s="22">
        <f t="shared" ref="V15:V19" si="2">W15-U15-T15-S15</f>
        <v>3498000</v>
      </c>
      <c r="W15" s="47">
        <v>12705000</v>
      </c>
      <c r="X15" s="22">
        <v>3645000</v>
      </c>
      <c r="Y15" s="22">
        <v>3730000</v>
      </c>
      <c r="Z15" s="22">
        <v>3911000</v>
      </c>
      <c r="AA15" s="22">
        <f>4228000</f>
        <v>4228000</v>
      </c>
      <c r="AB15" s="47">
        <f>SUM(X15:AA15)</f>
        <v>15514000</v>
      </c>
      <c r="AC15" s="22">
        <v>4018000</v>
      </c>
      <c r="AD15" s="22">
        <v>4244944.352119213</v>
      </c>
      <c r="AE15" s="22">
        <v>4112000</v>
      </c>
      <c r="AF15" s="123"/>
    </row>
    <row r="16" spans="1:32" x14ac:dyDescent="0.25">
      <c r="A16" s="8"/>
      <c r="B16" s="20" t="s">
        <v>24</v>
      </c>
      <c r="C16" s="24"/>
      <c r="D16" s="22">
        <v>559000</v>
      </c>
      <c r="E16" s="22">
        <v>639000</v>
      </c>
      <c r="F16" s="22">
        <v>692000</v>
      </c>
      <c r="G16" s="22">
        <v>768000</v>
      </c>
      <c r="H16" s="47">
        <v>2658000</v>
      </c>
      <c r="I16" s="22">
        <v>619000</v>
      </c>
      <c r="J16" s="22">
        <v>641000</v>
      </c>
      <c r="K16" s="22">
        <v>657000</v>
      </c>
      <c r="L16" s="22">
        <v>731000</v>
      </c>
      <c r="M16" s="47">
        <v>2648000</v>
      </c>
      <c r="N16" s="22">
        <v>622000</v>
      </c>
      <c r="O16" s="22">
        <v>596000</v>
      </c>
      <c r="P16" s="22">
        <v>554000</v>
      </c>
      <c r="Q16" s="22">
        <v>635000</v>
      </c>
      <c r="R16" s="47">
        <v>2407000</v>
      </c>
      <c r="S16" s="22">
        <v>535000</v>
      </c>
      <c r="T16" s="22">
        <v>476000</v>
      </c>
      <c r="U16" s="22">
        <v>483000</v>
      </c>
      <c r="V16" s="22">
        <f t="shared" si="2"/>
        <v>719000</v>
      </c>
      <c r="W16" s="47">
        <v>2213000</v>
      </c>
      <c r="X16" s="22">
        <v>641000</v>
      </c>
      <c r="Y16" s="22">
        <v>707000</v>
      </c>
      <c r="Z16" s="22">
        <v>713000</v>
      </c>
      <c r="AA16" s="22">
        <v>711000</v>
      </c>
      <c r="AB16" s="47">
        <f t="shared" ref="AB16:AB19" si="3">SUM(X16:AA16)</f>
        <v>2772000</v>
      </c>
      <c r="AC16" s="22">
        <v>593000</v>
      </c>
      <c r="AD16" s="22">
        <v>645034.50413533871</v>
      </c>
      <c r="AE16" s="22">
        <v>599000</v>
      </c>
      <c r="AF16" s="123"/>
    </row>
    <row r="17" spans="1:32" x14ac:dyDescent="0.25">
      <c r="A17" s="8"/>
      <c r="B17" s="20" t="s">
        <v>25</v>
      </c>
      <c r="C17" s="39"/>
      <c r="D17" s="22">
        <v>0</v>
      </c>
      <c r="E17" s="22">
        <v>0</v>
      </c>
      <c r="F17" s="22">
        <v>0</v>
      </c>
      <c r="G17" s="22">
        <v>0</v>
      </c>
      <c r="H17" s="47">
        <v>0</v>
      </c>
      <c r="I17" s="22">
        <v>0</v>
      </c>
      <c r="J17" s="22">
        <v>0</v>
      </c>
      <c r="K17" s="22">
        <v>0</v>
      </c>
      <c r="L17" s="22">
        <v>0</v>
      </c>
      <c r="M17" s="47">
        <v>0</v>
      </c>
      <c r="N17" s="22">
        <v>0</v>
      </c>
      <c r="O17" s="22">
        <v>0</v>
      </c>
      <c r="P17" s="22">
        <v>0</v>
      </c>
      <c r="Q17" s="22">
        <v>0</v>
      </c>
      <c r="R17" s="47">
        <v>0</v>
      </c>
      <c r="S17" s="22">
        <v>0</v>
      </c>
      <c r="T17" s="22">
        <v>0</v>
      </c>
      <c r="U17" s="22">
        <v>0</v>
      </c>
      <c r="V17" s="22">
        <f t="shared" si="2"/>
        <v>0</v>
      </c>
      <c r="W17" s="47">
        <v>0</v>
      </c>
      <c r="X17" s="22">
        <v>0</v>
      </c>
      <c r="Y17" s="22">
        <v>0</v>
      </c>
      <c r="Z17" s="22">
        <v>0</v>
      </c>
      <c r="AA17" s="22">
        <v>0</v>
      </c>
      <c r="AB17" s="47">
        <f t="shared" si="3"/>
        <v>0</v>
      </c>
      <c r="AC17" s="22">
        <v>0</v>
      </c>
      <c r="AD17" s="22">
        <v>0</v>
      </c>
      <c r="AE17" s="22">
        <v>0</v>
      </c>
      <c r="AF17" s="123"/>
    </row>
    <row r="18" spans="1:32" x14ac:dyDescent="0.25">
      <c r="A18" s="8"/>
      <c r="B18" s="20" t="s">
        <v>26</v>
      </c>
      <c r="C18" s="39"/>
      <c r="D18" s="22">
        <v>0</v>
      </c>
      <c r="E18" s="22"/>
      <c r="F18" s="22">
        <v>0</v>
      </c>
      <c r="G18" s="22">
        <v>0</v>
      </c>
      <c r="H18" s="47">
        <v>0</v>
      </c>
      <c r="I18" s="22">
        <v>0</v>
      </c>
      <c r="J18" s="22">
        <v>0</v>
      </c>
      <c r="K18" s="22">
        <v>0</v>
      </c>
      <c r="L18" s="22">
        <v>0</v>
      </c>
      <c r="M18" s="47">
        <v>0</v>
      </c>
      <c r="N18" s="22">
        <v>0</v>
      </c>
      <c r="O18" s="22">
        <v>0</v>
      </c>
      <c r="P18" s="22">
        <v>0</v>
      </c>
      <c r="Q18" s="22">
        <v>0</v>
      </c>
      <c r="R18" s="47">
        <v>0</v>
      </c>
      <c r="S18" s="22">
        <v>0</v>
      </c>
      <c r="T18" s="22">
        <v>0</v>
      </c>
      <c r="U18" s="22">
        <v>0</v>
      </c>
      <c r="V18" s="22">
        <f t="shared" si="2"/>
        <v>0</v>
      </c>
      <c r="W18" s="47">
        <v>0</v>
      </c>
      <c r="X18" s="22">
        <v>0</v>
      </c>
      <c r="Y18" s="22">
        <v>0</v>
      </c>
      <c r="Z18" s="22">
        <v>0</v>
      </c>
      <c r="AA18" s="22">
        <v>0</v>
      </c>
      <c r="AB18" s="47">
        <f t="shared" si="3"/>
        <v>0</v>
      </c>
      <c r="AC18" s="22">
        <v>0</v>
      </c>
      <c r="AD18" s="22">
        <v>0</v>
      </c>
      <c r="AE18" s="22">
        <v>0</v>
      </c>
      <c r="AF18" s="123"/>
    </row>
    <row r="19" spans="1:32" ht="15.75" thickBot="1" x14ac:dyDescent="0.3">
      <c r="A19" s="8"/>
      <c r="B19" s="48" t="s">
        <v>27</v>
      </c>
      <c r="C19" s="49"/>
      <c r="D19" s="50">
        <v>7821000</v>
      </c>
      <c r="E19" s="50">
        <v>8381000</v>
      </c>
      <c r="F19" s="50">
        <v>8466000</v>
      </c>
      <c r="G19" s="50">
        <v>7924000</v>
      </c>
      <c r="H19" s="51">
        <v>32592000</v>
      </c>
      <c r="I19" s="50">
        <v>8322000</v>
      </c>
      <c r="J19" s="50">
        <v>8549000</v>
      </c>
      <c r="K19" s="50">
        <v>8885000</v>
      </c>
      <c r="L19" s="50">
        <v>8608000</v>
      </c>
      <c r="M19" s="51">
        <v>34364000</v>
      </c>
      <c r="N19" s="50">
        <v>9269000</v>
      </c>
      <c r="O19" s="50">
        <v>9411000</v>
      </c>
      <c r="P19" s="50">
        <v>9286000</v>
      </c>
      <c r="Q19" s="50">
        <v>9522000</v>
      </c>
      <c r="R19" s="51">
        <v>37488000</v>
      </c>
      <c r="S19" s="50">
        <v>9528000</v>
      </c>
      <c r="T19" s="50">
        <v>7432000</v>
      </c>
      <c r="U19" s="50">
        <v>8655000</v>
      </c>
      <c r="V19" s="50">
        <f t="shared" si="2"/>
        <v>10050000</v>
      </c>
      <c r="W19" s="51">
        <v>35665000</v>
      </c>
      <c r="X19" s="50">
        <v>10212000</v>
      </c>
      <c r="Y19" s="50">
        <v>10818000</v>
      </c>
      <c r="Z19" s="50">
        <v>11293000</v>
      </c>
      <c r="AA19" s="50">
        <v>10794000</v>
      </c>
      <c r="AB19" s="51">
        <f t="shared" si="3"/>
        <v>43117000</v>
      </c>
      <c r="AC19" s="50">
        <f>+AC11-SUM(AC15:AC18)</f>
        <v>11101000</v>
      </c>
      <c r="AD19" s="50">
        <f>+AD11-SUM(AD15:AD18)</f>
        <v>11811477.015560927</v>
      </c>
      <c r="AE19" s="50">
        <v>11330000</v>
      </c>
      <c r="AF19" s="123"/>
    </row>
    <row r="20" spans="1:32" ht="16.899999999999999" customHeight="1" x14ac:dyDescent="0.25">
      <c r="A20" s="8"/>
      <c r="B20" s="53" t="s">
        <v>28</v>
      </c>
      <c r="C20" s="54"/>
      <c r="D20" s="55">
        <v>0.70459459459459461</v>
      </c>
      <c r="E20" s="55">
        <v>0.69760279673713999</v>
      </c>
      <c r="F20" s="55">
        <v>0.69183623437116937</v>
      </c>
      <c r="G20" s="55">
        <v>0.67993821863737769</v>
      </c>
      <c r="H20" s="56">
        <v>0.69337304542069988</v>
      </c>
      <c r="I20" s="55">
        <v>0.69171307455739339</v>
      </c>
      <c r="J20" s="55">
        <v>0.69464532379946375</v>
      </c>
      <c r="K20" s="55">
        <v>0.69500938673341672</v>
      </c>
      <c r="L20" s="55">
        <v>0.68913617804819471</v>
      </c>
      <c r="M20" s="56">
        <v>0.69264104166246754</v>
      </c>
      <c r="N20" s="55">
        <v>0.69456725365305361</v>
      </c>
      <c r="O20" s="55">
        <v>0.6944874916980297</v>
      </c>
      <c r="P20" s="55">
        <v>0.69499999999999995</v>
      </c>
      <c r="Q20" s="55">
        <v>0.69534102526654007</v>
      </c>
      <c r="R20" s="56">
        <v>0.69473684210526321</v>
      </c>
      <c r="S20" s="55">
        <v>0.70299999999999996</v>
      </c>
      <c r="T20" s="55">
        <v>0.7</v>
      </c>
      <c r="U20" s="55">
        <v>0.71181840611892422</v>
      </c>
      <c r="V20" s="55">
        <v>0.70399999999999996</v>
      </c>
      <c r="W20" s="56">
        <v>0.70499999999999996</v>
      </c>
      <c r="X20" s="55">
        <f>X19/X11</f>
        <v>0.70437301696785759</v>
      </c>
      <c r="Y20" s="55">
        <v>0.70914454277286132</v>
      </c>
      <c r="Z20" s="55">
        <v>0.70914454277286132</v>
      </c>
      <c r="AA20" s="55">
        <v>0.68600000000000005</v>
      </c>
      <c r="AB20" s="56">
        <v>0.70199999999999996</v>
      </c>
      <c r="AC20" s="55">
        <f>AC19/AC11</f>
        <v>0.70653004073319758</v>
      </c>
      <c r="AD20" s="55">
        <f>AD19/AD11</f>
        <v>0.70721241945699898</v>
      </c>
      <c r="AE20" s="55">
        <f>AE19/AE11</f>
        <v>0.70635910224438903</v>
      </c>
      <c r="AF20" s="123"/>
    </row>
    <row r="21" spans="1:32" ht="19.149999999999999" customHeight="1" x14ac:dyDescent="0.25">
      <c r="A21" s="8"/>
      <c r="B21" s="48" t="s">
        <v>29</v>
      </c>
      <c r="C21" s="49"/>
      <c r="D21" s="8"/>
      <c r="E21" s="8"/>
      <c r="F21" s="8"/>
      <c r="G21" s="8"/>
      <c r="H21" s="57"/>
      <c r="I21" s="8"/>
      <c r="J21" s="8"/>
      <c r="K21" s="8"/>
      <c r="L21" s="8"/>
      <c r="M21" s="57"/>
      <c r="N21" s="8"/>
      <c r="O21" s="8"/>
      <c r="P21" s="8"/>
      <c r="Q21" s="8"/>
      <c r="R21" s="57"/>
      <c r="S21" s="8"/>
      <c r="T21" s="8"/>
      <c r="U21" s="8"/>
      <c r="V21" s="8"/>
      <c r="W21" s="57"/>
      <c r="X21" s="48"/>
      <c r="Y21" s="48"/>
      <c r="Z21" s="48"/>
      <c r="AA21" s="8"/>
      <c r="AB21" s="57"/>
      <c r="AC21" s="48"/>
      <c r="AD21" s="48"/>
      <c r="AE21" s="48"/>
      <c r="AF21" s="123"/>
    </row>
    <row r="22" spans="1:32" x14ac:dyDescent="0.25">
      <c r="A22" s="8"/>
      <c r="B22" s="20" t="s">
        <v>30</v>
      </c>
      <c r="C22" s="24"/>
      <c r="D22" s="22">
        <v>2296000</v>
      </c>
      <c r="E22" s="22">
        <v>2478000</v>
      </c>
      <c r="F22" s="22">
        <v>2717000</v>
      </c>
      <c r="G22" s="22">
        <v>2584000</v>
      </c>
      <c r="H22" s="47">
        <v>10075000</v>
      </c>
      <c r="I22" s="22">
        <v>2539000</v>
      </c>
      <c r="J22" s="22">
        <v>2625000</v>
      </c>
      <c r="K22" s="22">
        <v>2569000</v>
      </c>
      <c r="L22" s="22">
        <v>2467000</v>
      </c>
      <c r="M22" s="47">
        <v>10200000</v>
      </c>
      <c r="N22" s="22">
        <v>2774000</v>
      </c>
      <c r="O22" s="22">
        <v>2761000</v>
      </c>
      <c r="P22" s="22">
        <v>2774000</v>
      </c>
      <c r="Q22" s="22">
        <v>2880000</v>
      </c>
      <c r="R22" s="47">
        <v>11189000</v>
      </c>
      <c r="S22" s="22">
        <v>3077000</v>
      </c>
      <c r="T22" s="22">
        <v>2188000</v>
      </c>
      <c r="U22" s="22">
        <v>2518000</v>
      </c>
      <c r="V22" s="22">
        <v>2646000</v>
      </c>
      <c r="W22" s="47">
        <v>10429000</v>
      </c>
      <c r="X22" s="22">
        <v>3021000</v>
      </c>
      <c r="Y22" s="22">
        <v>3298000</v>
      </c>
      <c r="Z22" s="22">
        <v>3352000</v>
      </c>
      <c r="AA22" s="22">
        <v>3356000</v>
      </c>
      <c r="AB22" s="47">
        <f>SUM(X22:AA22)</f>
        <v>13027000</v>
      </c>
      <c r="AC22" s="22">
        <v>3413000</v>
      </c>
      <c r="AD22" s="22">
        <f>'[2]MEX Consolidated'!$HU$28*1000</f>
        <v>3791997.2401417638</v>
      </c>
      <c r="AE22" s="22">
        <v>3502000</v>
      </c>
      <c r="AF22" s="123"/>
    </row>
    <row r="23" spans="1:32" x14ac:dyDescent="0.25">
      <c r="A23" s="8"/>
      <c r="B23" s="20" t="s">
        <v>31</v>
      </c>
      <c r="C23" s="24"/>
      <c r="D23" s="22">
        <v>3690000</v>
      </c>
      <c r="E23" s="22">
        <v>4011000</v>
      </c>
      <c r="F23" s="22">
        <v>4211000</v>
      </c>
      <c r="G23" s="22">
        <v>3877000</v>
      </c>
      <c r="H23" s="47">
        <v>15789000</v>
      </c>
      <c r="I23" s="22">
        <v>3475000</v>
      </c>
      <c r="J23" s="22">
        <v>3443000</v>
      </c>
      <c r="K23" s="22">
        <v>3929000</v>
      </c>
      <c r="L23" s="22">
        <v>4069000</v>
      </c>
      <c r="M23" s="47">
        <v>14916000</v>
      </c>
      <c r="N23" s="22">
        <v>4025000</v>
      </c>
      <c r="O23" s="22">
        <v>4001000</v>
      </c>
      <c r="P23" s="22">
        <v>3919000</v>
      </c>
      <c r="Q23" s="22">
        <v>3812000</v>
      </c>
      <c r="R23" s="47">
        <v>15757000</v>
      </c>
      <c r="S23" s="22">
        <v>3839000</v>
      </c>
      <c r="T23" s="22">
        <v>3149000</v>
      </c>
      <c r="U23" s="22">
        <v>3300000</v>
      </c>
      <c r="V23" s="22">
        <v>3977000</v>
      </c>
      <c r="W23" s="47">
        <v>14264000</v>
      </c>
      <c r="X23" s="22">
        <v>3870000</v>
      </c>
      <c r="Y23" s="22">
        <v>3815000</v>
      </c>
      <c r="Z23" s="22">
        <v>3995000</v>
      </c>
      <c r="AA23" s="22">
        <v>4506000</v>
      </c>
      <c r="AB23" s="47">
        <f t="shared" ref="AB23:AB26" si="4">SUM(X23:AA23)</f>
        <v>16186000</v>
      </c>
      <c r="AC23" s="22">
        <v>4239000</v>
      </c>
      <c r="AD23" s="22">
        <f>'[2]MEX Consolidated'!$HU$29*1000</f>
        <v>4417815.9579468742</v>
      </c>
      <c r="AE23" s="22">
        <v>5060000</v>
      </c>
      <c r="AF23" s="123"/>
    </row>
    <row r="24" spans="1:32" x14ac:dyDescent="0.25">
      <c r="A24" s="8"/>
      <c r="B24" s="15" t="s">
        <v>32</v>
      </c>
      <c r="C24" s="24"/>
      <c r="D24" s="22">
        <v>1156000</v>
      </c>
      <c r="E24" s="22">
        <v>1236000</v>
      </c>
      <c r="F24" s="22">
        <v>1136000</v>
      </c>
      <c r="G24" s="22">
        <v>1156000</v>
      </c>
      <c r="H24" s="47">
        <v>4684000</v>
      </c>
      <c r="I24" s="22">
        <v>1091000</v>
      </c>
      <c r="J24" s="22">
        <v>1348000</v>
      </c>
      <c r="K24" s="22">
        <v>1248000</v>
      </c>
      <c r="L24" s="22">
        <v>1606000</v>
      </c>
      <c r="M24" s="47">
        <v>5293000</v>
      </c>
      <c r="N24" s="22">
        <v>1026000</v>
      </c>
      <c r="O24" s="22">
        <v>1064000</v>
      </c>
      <c r="P24" s="22">
        <v>1293000</v>
      </c>
      <c r="Q24" s="22">
        <v>1265000</v>
      </c>
      <c r="R24" s="47">
        <v>4648000</v>
      </c>
      <c r="S24" s="22">
        <v>1548000</v>
      </c>
      <c r="T24" s="22">
        <v>941000</v>
      </c>
      <c r="U24" s="22">
        <v>1006000</v>
      </c>
      <c r="V24" s="22">
        <v>1228000</v>
      </c>
      <c r="W24" s="47">
        <v>4723000</v>
      </c>
      <c r="X24" s="22">
        <v>1245000</v>
      </c>
      <c r="Y24" s="22">
        <v>1165000</v>
      </c>
      <c r="Z24" s="22">
        <v>1531000</v>
      </c>
      <c r="AA24" s="22">
        <v>1592000</v>
      </c>
      <c r="AB24" s="47">
        <f t="shared" si="4"/>
        <v>5533000</v>
      </c>
      <c r="AC24" s="22">
        <v>1234000</v>
      </c>
      <c r="AD24" s="22">
        <f>'[2]MEX Consolidated'!$HU$30*1000</f>
        <v>1489282.0990388277</v>
      </c>
      <c r="AE24" s="22">
        <v>1590000</v>
      </c>
      <c r="AF24" s="123"/>
    </row>
    <row r="25" spans="1:32" x14ac:dyDescent="0.25">
      <c r="A25" s="8"/>
      <c r="B25" s="15" t="s">
        <v>33</v>
      </c>
      <c r="C25" s="59"/>
      <c r="D25" s="22">
        <v>527000</v>
      </c>
      <c r="E25" s="22">
        <v>526000</v>
      </c>
      <c r="F25" s="22">
        <v>496000</v>
      </c>
      <c r="G25" s="22">
        <v>424000</v>
      </c>
      <c r="H25" s="47">
        <v>1973000</v>
      </c>
      <c r="I25" s="22">
        <v>344000</v>
      </c>
      <c r="J25" s="22">
        <v>273000</v>
      </c>
      <c r="K25" s="22">
        <v>222000</v>
      </c>
      <c r="L25" s="22">
        <v>167000</v>
      </c>
      <c r="M25" s="47">
        <v>1006000</v>
      </c>
      <c r="N25" s="22">
        <v>140000</v>
      </c>
      <c r="O25" s="22">
        <v>95000</v>
      </c>
      <c r="P25" s="22">
        <v>82000</v>
      </c>
      <c r="Q25" s="22">
        <v>84000</v>
      </c>
      <c r="R25" s="47">
        <v>401000</v>
      </c>
      <c r="S25" s="22">
        <v>93000</v>
      </c>
      <c r="T25" s="22">
        <v>95000</v>
      </c>
      <c r="U25" s="22">
        <v>104000</v>
      </c>
      <c r="V25" s="22">
        <f t="shared" ref="V25:V28" si="5">W25-U25-T25-S25</f>
        <v>121000</v>
      </c>
      <c r="W25" s="47">
        <v>413000</v>
      </c>
      <c r="X25" s="22">
        <v>120000</v>
      </c>
      <c r="Y25" s="22">
        <v>119000</v>
      </c>
      <c r="Z25" s="22">
        <v>130000</v>
      </c>
      <c r="AA25" s="22">
        <v>142000</v>
      </c>
      <c r="AB25" s="47">
        <f t="shared" si="4"/>
        <v>511000</v>
      </c>
      <c r="AC25" s="22">
        <v>149000</v>
      </c>
      <c r="AD25" s="22">
        <f>'[2]MEX Consolidated'!$HU$31*1000</f>
        <v>162821.61036051443</v>
      </c>
      <c r="AE25" s="22">
        <v>182000</v>
      </c>
      <c r="AF25" s="123"/>
    </row>
    <row r="26" spans="1:32" ht="15.75" thickBot="1" x14ac:dyDescent="0.3">
      <c r="A26" s="8"/>
      <c r="B26" s="15" t="s">
        <v>34</v>
      </c>
      <c r="C26" s="61"/>
      <c r="D26" s="50">
        <v>7669000</v>
      </c>
      <c r="E26" s="50">
        <v>8251000</v>
      </c>
      <c r="F26" s="50">
        <v>8560000</v>
      </c>
      <c r="G26" s="50">
        <v>8041000</v>
      </c>
      <c r="H26" s="51">
        <v>32521000</v>
      </c>
      <c r="I26" s="50">
        <v>7449000</v>
      </c>
      <c r="J26" s="50">
        <v>7689000</v>
      </c>
      <c r="K26" s="50">
        <v>7968000</v>
      </c>
      <c r="L26" s="50">
        <v>8309000</v>
      </c>
      <c r="M26" s="51">
        <v>31415000</v>
      </c>
      <c r="N26" s="50">
        <v>7965000</v>
      </c>
      <c r="O26" s="50">
        <v>7921000</v>
      </c>
      <c r="P26" s="50">
        <v>8068000</v>
      </c>
      <c r="Q26" s="50">
        <v>8041000</v>
      </c>
      <c r="R26" s="51">
        <v>31995000</v>
      </c>
      <c r="S26" s="50">
        <v>8557000</v>
      </c>
      <c r="T26" s="50">
        <v>6373000</v>
      </c>
      <c r="U26" s="50">
        <v>6928000</v>
      </c>
      <c r="V26" s="50">
        <v>7972000</v>
      </c>
      <c r="W26" s="51">
        <v>29829000</v>
      </c>
      <c r="X26" s="50">
        <v>8256000</v>
      </c>
      <c r="Y26" s="50">
        <v>8397000</v>
      </c>
      <c r="Z26" s="50">
        <v>9008000</v>
      </c>
      <c r="AA26" s="50">
        <v>9597000</v>
      </c>
      <c r="AB26" s="51">
        <f t="shared" si="4"/>
        <v>35258000</v>
      </c>
      <c r="AC26" s="50">
        <f>SUM(AC22:AC25)</f>
        <v>9035000</v>
      </c>
      <c r="AD26" s="50">
        <f>SUM(AD22:AD25)</f>
        <v>9861916.907487981</v>
      </c>
      <c r="AE26" s="50">
        <v>10334000</v>
      </c>
      <c r="AF26" s="123"/>
    </row>
    <row r="27" spans="1:32" ht="5.45" customHeight="1" x14ac:dyDescent="0.25">
      <c r="A27" s="8"/>
      <c r="B27" s="15"/>
      <c r="C27" s="40"/>
      <c r="D27" s="8"/>
      <c r="E27" s="8"/>
      <c r="F27" s="8"/>
      <c r="G27" s="8"/>
      <c r="H27" s="47"/>
      <c r="I27" s="8"/>
      <c r="J27" s="8"/>
      <c r="K27" s="8"/>
      <c r="L27" s="8"/>
      <c r="M27" s="47"/>
      <c r="N27" s="8"/>
      <c r="O27" s="8"/>
      <c r="P27" s="8"/>
      <c r="Q27" s="8"/>
      <c r="R27" s="47"/>
      <c r="S27" s="8"/>
      <c r="T27" s="8"/>
      <c r="U27" s="8"/>
      <c r="V27" s="8"/>
      <c r="W27" s="47"/>
      <c r="X27" s="8"/>
      <c r="Y27" s="8"/>
      <c r="Z27" s="8"/>
      <c r="AA27" s="8"/>
      <c r="AB27" s="47"/>
      <c r="AC27" s="8"/>
      <c r="AD27" s="8"/>
      <c r="AE27" s="8"/>
      <c r="AF27" s="123"/>
    </row>
    <row r="28" spans="1:32" ht="15.75" thickBot="1" x14ac:dyDescent="0.3">
      <c r="A28" s="8"/>
      <c r="B28" s="15" t="s">
        <v>92</v>
      </c>
      <c r="C28" s="61"/>
      <c r="D28" s="62">
        <v>152000</v>
      </c>
      <c r="E28" s="62">
        <v>130000</v>
      </c>
      <c r="F28" s="62">
        <v>-94000</v>
      </c>
      <c r="G28" s="62">
        <v>-117000</v>
      </c>
      <c r="H28" s="100">
        <v>71000</v>
      </c>
      <c r="I28" s="62">
        <v>873000</v>
      </c>
      <c r="J28" s="62">
        <v>860000</v>
      </c>
      <c r="K28" s="62">
        <v>917000</v>
      </c>
      <c r="L28" s="62">
        <v>299000</v>
      </c>
      <c r="M28" s="100">
        <v>2949000</v>
      </c>
      <c r="N28" s="62">
        <v>1304000</v>
      </c>
      <c r="O28" s="62">
        <v>1490000</v>
      </c>
      <c r="P28" s="62">
        <v>1218000</v>
      </c>
      <c r="Q28" s="62">
        <v>1481000</v>
      </c>
      <c r="R28" s="100">
        <v>5493000</v>
      </c>
      <c r="S28" s="62">
        <v>971000</v>
      </c>
      <c r="T28" s="62">
        <v>1059000</v>
      </c>
      <c r="U28" s="62">
        <v>1727000</v>
      </c>
      <c r="V28" s="62">
        <f t="shared" si="5"/>
        <v>2079000</v>
      </c>
      <c r="W28" s="100">
        <v>5836000</v>
      </c>
      <c r="X28" s="62">
        <v>1956000</v>
      </c>
      <c r="Y28" s="62">
        <v>2421000</v>
      </c>
      <c r="Z28" s="62">
        <v>2285000</v>
      </c>
      <c r="AA28" s="62">
        <v>1196000</v>
      </c>
      <c r="AB28" s="100">
        <f>SUM(X28:AA28)</f>
        <v>7858000</v>
      </c>
      <c r="AC28" s="62">
        <f>+AC19-AC26</f>
        <v>2066000</v>
      </c>
      <c r="AD28" s="62">
        <f>+AD19-AD26</f>
        <v>1949560.1080729458</v>
      </c>
      <c r="AE28" s="62">
        <v>996000</v>
      </c>
      <c r="AF28" s="123"/>
    </row>
    <row r="29" spans="1:32" ht="15.75" thickBot="1" x14ac:dyDescent="0.3">
      <c r="A29" s="8"/>
      <c r="B29" s="53" t="s">
        <v>28</v>
      </c>
      <c r="C29" s="54"/>
      <c r="D29" s="106">
        <v>1.3693693693693694E-2</v>
      </c>
      <c r="E29" s="106">
        <v>1.0820709172631929E-2</v>
      </c>
      <c r="F29" s="106">
        <v>-7.681621312413173E-3</v>
      </c>
      <c r="G29" s="106">
        <v>-1.0039471426119786E-2</v>
      </c>
      <c r="H29" s="107">
        <v>1.510477608765025E-3</v>
      </c>
      <c r="I29" s="106">
        <v>7.2562546754218263E-2</v>
      </c>
      <c r="J29" s="106">
        <v>6.9878930689851307E-2</v>
      </c>
      <c r="K29" s="106">
        <v>7.1730287859824785E-2</v>
      </c>
      <c r="L29" s="106">
        <v>2.3937234809062524E-2</v>
      </c>
      <c r="M29" s="107">
        <v>5.9440066111704597E-2</v>
      </c>
      <c r="N29" s="106">
        <v>9.7714499812663919E-2</v>
      </c>
      <c r="O29" s="106">
        <v>0.10995498487196517</v>
      </c>
      <c r="P29" s="106">
        <v>9.0999999999999998E-2</v>
      </c>
      <c r="Q29" s="106">
        <v>0.10814955454943771</v>
      </c>
      <c r="R29" s="107">
        <v>0.10179762787249814</v>
      </c>
      <c r="S29" s="106">
        <v>7.1999999999999995E-2</v>
      </c>
      <c r="T29" s="106">
        <v>0.1</v>
      </c>
      <c r="U29" s="106">
        <v>0.14203470680154617</v>
      </c>
      <c r="V29" s="106">
        <v>0.14599999999999999</v>
      </c>
      <c r="W29" s="107">
        <v>0.115</v>
      </c>
      <c r="X29" s="55">
        <f>X28/X11</f>
        <v>0.13491516071182233</v>
      </c>
      <c r="Y29" s="55">
        <v>0.15870206489675517</v>
      </c>
      <c r="Z29" s="55">
        <v>0.14399999999999999</v>
      </c>
      <c r="AA29" s="106">
        <v>7.5999999999999998E-2</v>
      </c>
      <c r="AB29" s="107">
        <v>0.128</v>
      </c>
      <c r="AC29" s="55">
        <f>AC28/AC11</f>
        <v>0.1314918533604888</v>
      </c>
      <c r="AD29" s="55">
        <f>AD28/AD11</f>
        <v>0.11672994995381951</v>
      </c>
      <c r="AE29" s="55">
        <f>AE28/AE11</f>
        <v>6.2094763092269328E-2</v>
      </c>
      <c r="AF29" s="123"/>
    </row>
    <row r="30" spans="1:32" ht="18.600000000000001" customHeight="1" thickBot="1" x14ac:dyDescent="0.3">
      <c r="A30" s="48"/>
      <c r="B30" s="108" t="s">
        <v>93</v>
      </c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AA30" s="106"/>
      <c r="AB30" s="118"/>
      <c r="AF30" s="123"/>
    </row>
    <row r="31" spans="1:32" x14ac:dyDescent="0.25">
      <c r="A31" s="48"/>
      <c r="B31" s="108" t="s">
        <v>94</v>
      </c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AA31" s="48"/>
      <c r="AB31" s="48"/>
      <c r="AF31" s="123"/>
    </row>
    <row r="32" spans="1:32" ht="15.6" customHeight="1" x14ac:dyDescent="0.25">
      <c r="A32" s="48"/>
      <c r="B32" s="108" t="s">
        <v>95</v>
      </c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AA32" s="48"/>
      <c r="AB32" s="48"/>
      <c r="AF32" s="123"/>
    </row>
    <row r="33" spans="1:32" x14ac:dyDescent="0.25">
      <c r="A33" s="48"/>
      <c r="B33" s="108" t="s">
        <v>96</v>
      </c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AA33" s="48"/>
      <c r="AB33" s="48"/>
      <c r="AF33" s="123"/>
    </row>
    <row r="34" spans="1:32" ht="15.75" x14ac:dyDescent="0.25">
      <c r="A34" s="48"/>
      <c r="B34" s="48" t="s">
        <v>97</v>
      </c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AA34" s="48"/>
      <c r="AB34" s="48"/>
      <c r="AF34" s="123"/>
    </row>
    <row r="35" spans="1:32" x14ac:dyDescent="0.25">
      <c r="A35" s="48"/>
      <c r="B35" s="108" t="s">
        <v>98</v>
      </c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AA35" s="48"/>
      <c r="AB35" s="48"/>
      <c r="AF35" s="123"/>
    </row>
    <row r="36" spans="1:32" ht="15.75" x14ac:dyDescent="0.25">
      <c r="A36" s="48"/>
      <c r="B36" s="108" t="s">
        <v>99</v>
      </c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AA36" s="48"/>
      <c r="AB36" s="48"/>
      <c r="AF36" s="123"/>
    </row>
    <row r="37" spans="1:32" x14ac:dyDescent="0.25">
      <c r="A37" s="48"/>
      <c r="B37" s="108" t="s">
        <v>100</v>
      </c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AA37" s="48"/>
      <c r="AB37" s="48"/>
      <c r="AF37" s="123"/>
    </row>
    <row r="38" spans="1:32" x14ac:dyDescent="0.25">
      <c r="A38" s="48"/>
      <c r="B38" s="108" t="s">
        <v>101</v>
      </c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AA38" s="48"/>
      <c r="AB38" s="48"/>
      <c r="AF38" s="123"/>
    </row>
    <row r="39" spans="1:32" x14ac:dyDescent="0.25">
      <c r="A39" s="48"/>
      <c r="B39" s="108" t="s">
        <v>102</v>
      </c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AA39" s="48"/>
      <c r="AB39" s="48"/>
      <c r="AF39" s="123"/>
    </row>
    <row r="40" spans="1:32" x14ac:dyDescent="0.25">
      <c r="A40" s="48"/>
      <c r="B40" s="48" t="s">
        <v>103</v>
      </c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AA40" s="48"/>
      <c r="AB40" s="48"/>
      <c r="AF40" s="123"/>
    </row>
    <row r="41" spans="1:32" x14ac:dyDescent="0.25">
      <c r="A41" s="48"/>
      <c r="B41" s="48" t="s">
        <v>104</v>
      </c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AA41" s="48"/>
      <c r="AB41" s="48"/>
      <c r="AF41" s="123"/>
    </row>
    <row r="42" spans="1:32" x14ac:dyDescent="0.25">
      <c r="A42" s="48"/>
      <c r="B42" s="48" t="s">
        <v>105</v>
      </c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AA42" s="48"/>
      <c r="AB42" s="48"/>
      <c r="AF42" s="123"/>
    </row>
    <row r="43" spans="1:32" x14ac:dyDescent="0.25">
      <c r="AF43" s="123"/>
    </row>
    <row r="44" spans="1:32" x14ac:dyDescent="0.25">
      <c r="AF44" s="123"/>
    </row>
  </sheetData>
  <mergeCells count="4">
    <mergeCell ref="D4:G4"/>
    <mergeCell ref="I4:L4"/>
    <mergeCell ref="N4:Q4"/>
    <mergeCell ref="S4:V4"/>
  </mergeCells>
  <pageMargins left="0.7" right="0.7" top="0.75" bottom="0.75" header="0.3" footer="0.3"/>
  <pageSetup scale="6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  <pageSetUpPr fitToPage="1"/>
  </sheetPr>
  <dimension ref="A1:AG30"/>
  <sheetViews>
    <sheetView showGridLines="0" view="pageBreakPreview" zoomScale="85" zoomScaleNormal="70" zoomScaleSheetLayoutView="85" workbookViewId="0">
      <pane xSplit="3" ySplit="5" topLeftCell="D6" activePane="bottomRight" state="frozen"/>
      <selection activeCell="AE48" sqref="AE48"/>
      <selection pane="topRight" activeCell="AE48" sqref="AE48"/>
      <selection pane="bottomLeft" activeCell="AE48" sqref="AE48"/>
      <selection pane="bottomRight" activeCell="W1" sqref="W1"/>
    </sheetView>
  </sheetViews>
  <sheetFormatPr defaultRowHeight="15" x14ac:dyDescent="0.25"/>
  <cols>
    <col min="1" max="1" width="2.7109375" customWidth="1"/>
    <col min="2" max="2" width="50.7109375" customWidth="1"/>
    <col min="3" max="3" width="1.28515625" customWidth="1"/>
    <col min="4" max="4" width="11.140625" hidden="1" customWidth="1"/>
    <col min="5" max="6" width="11.5703125" hidden="1" customWidth="1"/>
    <col min="7" max="7" width="12" hidden="1" customWidth="1"/>
    <col min="8" max="8" width="10.140625" hidden="1" customWidth="1"/>
    <col min="9" max="9" width="11.140625" hidden="1" customWidth="1"/>
    <col min="10" max="11" width="11.5703125" hidden="1" customWidth="1"/>
    <col min="12" max="12" width="12" hidden="1" customWidth="1"/>
    <col min="13" max="13" width="10" hidden="1" customWidth="1"/>
    <col min="14" max="14" width="11.140625" hidden="1" customWidth="1"/>
    <col min="15" max="16" width="11.5703125" hidden="1" customWidth="1"/>
    <col min="17" max="17" width="12" hidden="1" customWidth="1"/>
    <col min="18" max="18" width="10.5703125" hidden="1" customWidth="1"/>
    <col min="19" max="19" width="11.5703125" hidden="1" customWidth="1"/>
    <col min="20" max="21" width="12" hidden="1" customWidth="1"/>
    <col min="22" max="22" width="12.42578125" hidden="1" customWidth="1"/>
    <col min="23" max="23" width="10.28515625" customWidth="1"/>
    <col min="24" max="27" width="11.85546875" customWidth="1"/>
    <col min="28" max="28" width="10.28515625" bestFit="1" customWidth="1"/>
    <col min="29" max="31" width="11.85546875" customWidth="1"/>
    <col min="32" max="32" width="12.28515625" customWidth="1"/>
  </cols>
  <sheetData>
    <row r="1" spans="1:33" ht="28.5" x14ac:dyDescent="0.45">
      <c r="A1" s="1"/>
      <c r="B1" s="2" t="s">
        <v>0</v>
      </c>
      <c r="C1" s="3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AA1" s="1"/>
      <c r="AB1" s="1"/>
    </row>
    <row r="2" spans="1:33" ht="21" x14ac:dyDescent="0.35">
      <c r="A2" s="1"/>
      <c r="B2" s="4" t="s">
        <v>1</v>
      </c>
      <c r="C2" s="5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AA2" s="1"/>
      <c r="AB2" s="1"/>
    </row>
    <row r="3" spans="1:33" ht="19.5" thickBot="1" x14ac:dyDescent="0.35">
      <c r="A3" s="1"/>
      <c r="B3" s="6" t="s">
        <v>2</v>
      </c>
      <c r="C3" s="7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AA3" s="1"/>
      <c r="AB3" s="1"/>
      <c r="AF3" s="123"/>
    </row>
    <row r="4" spans="1:33" ht="16.5" thickTop="1" x14ac:dyDescent="0.25">
      <c r="A4" s="8"/>
      <c r="B4" s="9" t="s">
        <v>106</v>
      </c>
      <c r="C4" s="10"/>
      <c r="D4" s="141" t="s">
        <v>4</v>
      </c>
      <c r="E4" s="142"/>
      <c r="F4" s="142"/>
      <c r="G4" s="143"/>
      <c r="H4" s="11" t="s">
        <v>107</v>
      </c>
      <c r="I4" s="144" t="s">
        <v>4</v>
      </c>
      <c r="J4" s="145"/>
      <c r="K4" s="145"/>
      <c r="L4" s="145"/>
      <c r="M4" s="105" t="s">
        <v>107</v>
      </c>
      <c r="N4" s="149" t="s">
        <v>4</v>
      </c>
      <c r="O4" s="150"/>
      <c r="P4" s="150"/>
      <c r="Q4" s="151"/>
      <c r="R4" s="105" t="s">
        <v>5</v>
      </c>
      <c r="S4" s="149" t="s">
        <v>4</v>
      </c>
      <c r="T4" s="150"/>
      <c r="U4" s="150"/>
      <c r="V4" s="151"/>
      <c r="W4" s="105" t="s">
        <v>5</v>
      </c>
      <c r="X4" s="115" t="s">
        <v>4</v>
      </c>
      <c r="Y4" s="116" t="s">
        <v>4</v>
      </c>
      <c r="Z4" s="116" t="s">
        <v>4</v>
      </c>
      <c r="AA4" s="116" t="s">
        <v>4</v>
      </c>
      <c r="AB4" s="11" t="s">
        <v>5</v>
      </c>
      <c r="AC4" s="115" t="s">
        <v>4</v>
      </c>
      <c r="AD4" s="116" t="s">
        <v>4</v>
      </c>
      <c r="AE4" s="116" t="s">
        <v>4</v>
      </c>
      <c r="AF4" s="123"/>
    </row>
    <row r="5" spans="1:33" x14ac:dyDescent="0.25">
      <c r="A5" s="8"/>
      <c r="B5" s="12" t="s">
        <v>6</v>
      </c>
      <c r="C5" s="10"/>
      <c r="D5" s="13">
        <v>42825</v>
      </c>
      <c r="E5" s="13">
        <v>42916</v>
      </c>
      <c r="F5" s="13">
        <v>43008</v>
      </c>
      <c r="G5" s="13">
        <v>43100</v>
      </c>
      <c r="H5" s="14">
        <v>2017</v>
      </c>
      <c r="I5" s="13">
        <v>43190</v>
      </c>
      <c r="J5" s="13">
        <v>43281</v>
      </c>
      <c r="K5" s="13" t="s">
        <v>7</v>
      </c>
      <c r="L5" s="13">
        <v>43465</v>
      </c>
      <c r="M5" s="14">
        <v>2018</v>
      </c>
      <c r="N5" s="13">
        <v>43555</v>
      </c>
      <c r="O5" s="13">
        <v>43646</v>
      </c>
      <c r="P5" s="13">
        <v>43738</v>
      </c>
      <c r="Q5" s="13">
        <v>43830</v>
      </c>
      <c r="R5" s="14">
        <v>2019</v>
      </c>
      <c r="S5" s="13">
        <v>43921</v>
      </c>
      <c r="T5" s="13" t="s">
        <v>10</v>
      </c>
      <c r="U5" s="13">
        <v>44104</v>
      </c>
      <c r="V5" s="13">
        <v>44196</v>
      </c>
      <c r="W5" s="14">
        <v>2020</v>
      </c>
      <c r="X5" s="13">
        <v>44286</v>
      </c>
      <c r="Y5" s="13">
        <v>44377</v>
      </c>
      <c r="Z5" s="13">
        <v>44469</v>
      </c>
      <c r="AA5" s="13">
        <v>44561</v>
      </c>
      <c r="AB5" s="14">
        <v>2021</v>
      </c>
      <c r="AC5" s="13">
        <v>44651</v>
      </c>
      <c r="AD5" s="13">
        <v>44742</v>
      </c>
      <c r="AE5" s="13">
        <v>44834</v>
      </c>
      <c r="AF5" s="125"/>
    </row>
    <row r="6" spans="1:33" x14ac:dyDescent="0.25">
      <c r="A6" s="8"/>
      <c r="B6" s="15" t="s">
        <v>11</v>
      </c>
      <c r="C6" s="16"/>
      <c r="D6" s="8"/>
      <c r="E6" s="8"/>
      <c r="F6" s="8"/>
      <c r="G6" s="8"/>
      <c r="H6" s="18"/>
      <c r="I6" s="8"/>
      <c r="J6" s="8"/>
      <c r="K6" s="8"/>
      <c r="L6" s="8"/>
      <c r="M6" s="38"/>
      <c r="N6" s="8"/>
      <c r="O6" s="8"/>
      <c r="P6" s="8"/>
      <c r="Q6" s="8"/>
      <c r="R6" s="38"/>
      <c r="S6" s="8"/>
      <c r="T6" s="8"/>
      <c r="U6" s="8"/>
      <c r="V6" s="8"/>
      <c r="W6" s="38"/>
      <c r="X6" s="8"/>
      <c r="Y6" s="8"/>
      <c r="Z6" s="8"/>
      <c r="AA6" s="8"/>
      <c r="AB6" s="38"/>
      <c r="AC6" s="8"/>
      <c r="AD6" s="8"/>
      <c r="AE6" s="8"/>
      <c r="AF6" s="123"/>
      <c r="AG6" s="123"/>
    </row>
    <row r="7" spans="1:33" x14ac:dyDescent="0.25">
      <c r="A7" s="8"/>
      <c r="B7" s="20" t="s">
        <v>18</v>
      </c>
      <c r="C7" s="39"/>
      <c r="D7" s="22">
        <v>3321000</v>
      </c>
      <c r="E7" s="22">
        <v>3214000</v>
      </c>
      <c r="F7" s="22">
        <v>2676000</v>
      </c>
      <c r="G7" s="22">
        <v>3946000</v>
      </c>
      <c r="H7" s="23">
        <v>13157000</v>
      </c>
      <c r="I7" s="22">
        <v>3634000</v>
      </c>
      <c r="J7" s="22">
        <v>4880000</v>
      </c>
      <c r="K7" s="22">
        <v>4135000</v>
      </c>
      <c r="L7" s="22">
        <v>6438000</v>
      </c>
      <c r="M7" s="23">
        <v>19087000</v>
      </c>
      <c r="N7" s="22">
        <v>8456000</v>
      </c>
      <c r="O7" s="22">
        <v>10673000</v>
      </c>
      <c r="P7" s="22">
        <v>11178000</v>
      </c>
      <c r="Q7" s="22">
        <v>18828000</v>
      </c>
      <c r="R7" s="23">
        <v>49135000</v>
      </c>
      <c r="S7" s="22">
        <v>12437000</v>
      </c>
      <c r="T7" s="22">
        <v>18047000</v>
      </c>
      <c r="U7" s="22">
        <v>19069000</v>
      </c>
      <c r="V7" s="22">
        <f>W7-U7-T7-S7</f>
        <v>30470000</v>
      </c>
      <c r="W7" s="23">
        <v>80023000</v>
      </c>
      <c r="X7" s="22">
        <v>33055000</v>
      </c>
      <c r="Y7" s="22">
        <v>29616000</v>
      </c>
      <c r="Z7" s="22">
        <v>33671000</v>
      </c>
      <c r="AA7" s="22">
        <v>30514000</v>
      </c>
      <c r="AB7" s="23">
        <f>SUM(X7:AA7)</f>
        <v>126856000</v>
      </c>
      <c r="AC7" s="22">
        <v>18521000</v>
      </c>
      <c r="AD7" s="22">
        <f>'[2]FRA Consolidated'!$HU$13*1000</f>
        <v>26504547.790000003</v>
      </c>
      <c r="AE7" s="22">
        <v>22823000</v>
      </c>
      <c r="AF7" s="129"/>
      <c r="AG7" s="123"/>
    </row>
    <row r="8" spans="1:33" x14ac:dyDescent="0.25">
      <c r="A8" s="8"/>
      <c r="B8" s="20" t="s">
        <v>19</v>
      </c>
      <c r="C8" s="39"/>
      <c r="D8" s="22">
        <v>2120000</v>
      </c>
      <c r="E8" s="22">
        <v>2061000</v>
      </c>
      <c r="F8" s="22">
        <v>1996000</v>
      </c>
      <c r="G8" s="22">
        <v>2792000</v>
      </c>
      <c r="H8" s="23">
        <v>8969000</v>
      </c>
      <c r="I8" s="22">
        <v>3351000</v>
      </c>
      <c r="J8" s="22">
        <v>3812000</v>
      </c>
      <c r="K8" s="22">
        <v>3265000</v>
      </c>
      <c r="L8" s="22">
        <v>3063000</v>
      </c>
      <c r="M8" s="23">
        <v>13491000</v>
      </c>
      <c r="N8" s="22">
        <v>4314000</v>
      </c>
      <c r="O8" s="22">
        <v>4216000</v>
      </c>
      <c r="P8" s="22">
        <v>3840000</v>
      </c>
      <c r="Q8" s="22">
        <v>4086000</v>
      </c>
      <c r="R8" s="23">
        <v>16456000</v>
      </c>
      <c r="S8" s="22">
        <v>4653000</v>
      </c>
      <c r="T8" s="22">
        <v>4464000</v>
      </c>
      <c r="U8" s="22">
        <v>4716000</v>
      </c>
      <c r="V8" s="22">
        <f t="shared" ref="V8:V11" si="0">W8-U8-T8-S8</f>
        <v>6182000</v>
      </c>
      <c r="W8" s="23">
        <v>20015000</v>
      </c>
      <c r="X8" s="22">
        <v>6709000</v>
      </c>
      <c r="Y8" s="22">
        <v>7499000</v>
      </c>
      <c r="Z8" s="22">
        <v>6622000</v>
      </c>
      <c r="AA8" s="22">
        <v>6357000</v>
      </c>
      <c r="AB8" s="23">
        <f t="shared" ref="AB8:AB11" si="1">SUM(X8:AA8)</f>
        <v>27187000</v>
      </c>
      <c r="AC8" s="22">
        <v>6894000</v>
      </c>
      <c r="AD8" s="22">
        <f>'[2]FRA Consolidated'!$HU$14*1000</f>
        <v>7067024.7700000005</v>
      </c>
      <c r="AE8" s="22">
        <v>6001000</v>
      </c>
      <c r="AF8" s="123"/>
      <c r="AG8" s="123"/>
    </row>
    <row r="9" spans="1:33" x14ac:dyDescent="0.25">
      <c r="A9" s="8"/>
      <c r="B9" s="20" t="s">
        <v>14</v>
      </c>
      <c r="C9" s="24"/>
      <c r="D9" s="22">
        <v>0</v>
      </c>
      <c r="E9" s="22">
        <v>0</v>
      </c>
      <c r="F9" s="22">
        <v>0</v>
      </c>
      <c r="G9" s="22">
        <v>0</v>
      </c>
      <c r="H9" s="23">
        <v>0</v>
      </c>
      <c r="I9" s="22">
        <v>0</v>
      </c>
      <c r="J9" s="22">
        <v>0</v>
      </c>
      <c r="K9" s="22">
        <v>0</v>
      </c>
      <c r="L9" s="22">
        <v>0</v>
      </c>
      <c r="M9" s="23">
        <v>0</v>
      </c>
      <c r="N9" s="22">
        <v>0</v>
      </c>
      <c r="O9" s="22">
        <v>0</v>
      </c>
      <c r="P9" s="22">
        <v>0</v>
      </c>
      <c r="Q9" s="22">
        <v>0</v>
      </c>
      <c r="R9" s="23">
        <v>0</v>
      </c>
      <c r="S9" s="22">
        <v>0</v>
      </c>
      <c r="T9" s="22">
        <v>0</v>
      </c>
      <c r="U9" s="22">
        <v>0</v>
      </c>
      <c r="V9" s="22">
        <f t="shared" si="0"/>
        <v>0</v>
      </c>
      <c r="W9" s="23">
        <v>0</v>
      </c>
      <c r="X9" s="22">
        <v>0</v>
      </c>
      <c r="Y9" s="22">
        <v>0</v>
      </c>
      <c r="Z9" s="22">
        <v>0</v>
      </c>
      <c r="AA9" s="22">
        <v>0</v>
      </c>
      <c r="AB9" s="23">
        <f t="shared" si="1"/>
        <v>0</v>
      </c>
      <c r="AC9" s="22">
        <v>0</v>
      </c>
      <c r="AD9" s="22">
        <v>0</v>
      </c>
      <c r="AE9" s="22">
        <v>0</v>
      </c>
      <c r="AF9" s="123"/>
      <c r="AG9" s="123"/>
    </row>
    <row r="10" spans="1:33" x14ac:dyDescent="0.25">
      <c r="A10" s="8"/>
      <c r="B10" s="20" t="s">
        <v>15</v>
      </c>
      <c r="C10" s="25"/>
      <c r="D10" s="22">
        <v>0</v>
      </c>
      <c r="E10" s="22">
        <v>0</v>
      </c>
      <c r="F10" s="22">
        <v>0</v>
      </c>
      <c r="G10" s="22">
        <v>0</v>
      </c>
      <c r="H10" s="23">
        <v>0</v>
      </c>
      <c r="I10" s="22">
        <v>0</v>
      </c>
      <c r="J10" s="22">
        <v>0</v>
      </c>
      <c r="K10" s="22">
        <v>0</v>
      </c>
      <c r="L10" s="22">
        <v>0</v>
      </c>
      <c r="M10" s="23">
        <v>0</v>
      </c>
      <c r="N10" s="22">
        <v>0</v>
      </c>
      <c r="O10" s="22">
        <v>0</v>
      </c>
      <c r="P10" s="22">
        <v>0</v>
      </c>
      <c r="Q10" s="22">
        <v>555000</v>
      </c>
      <c r="R10" s="23">
        <v>555000</v>
      </c>
      <c r="S10" s="22">
        <v>211000</v>
      </c>
      <c r="T10" s="22">
        <v>189000</v>
      </c>
      <c r="U10" s="22">
        <v>189000</v>
      </c>
      <c r="V10" s="22">
        <f t="shared" si="0"/>
        <v>189000</v>
      </c>
      <c r="W10" s="23">
        <v>778000</v>
      </c>
      <c r="X10" s="22">
        <v>205000</v>
      </c>
      <c r="Y10" s="22">
        <v>491000</v>
      </c>
      <c r="Z10" s="22">
        <v>627000</v>
      </c>
      <c r="AA10" s="22">
        <v>744000</v>
      </c>
      <c r="AB10" s="23">
        <f t="shared" si="1"/>
        <v>2067000</v>
      </c>
      <c r="AC10" s="120">
        <v>713000</v>
      </c>
      <c r="AD10" s="120">
        <f>'[2]FRA Consolidated'!$HU$10*1000</f>
        <v>627219.91</v>
      </c>
      <c r="AE10" s="120">
        <v>889000</v>
      </c>
      <c r="AF10" s="123"/>
      <c r="AG10" s="123"/>
    </row>
    <row r="11" spans="1:33" ht="15.75" thickBot="1" x14ac:dyDescent="0.3">
      <c r="A11" s="8"/>
      <c r="B11" s="26" t="s">
        <v>20</v>
      </c>
      <c r="C11" s="27"/>
      <c r="D11" s="41">
        <v>5441000</v>
      </c>
      <c r="E11" s="41">
        <v>5275000</v>
      </c>
      <c r="F11" s="41">
        <v>4672353.96</v>
      </c>
      <c r="G11" s="41">
        <v>6738000</v>
      </c>
      <c r="H11" s="42">
        <v>22126000</v>
      </c>
      <c r="I11" s="41">
        <v>6985000</v>
      </c>
      <c r="J11" s="41">
        <v>8692000</v>
      </c>
      <c r="K11" s="41">
        <v>7400000</v>
      </c>
      <c r="L11" s="41">
        <v>9501000</v>
      </c>
      <c r="M11" s="42">
        <v>32578000</v>
      </c>
      <c r="N11" s="41">
        <v>12770000</v>
      </c>
      <c r="O11" s="41">
        <v>14889000</v>
      </c>
      <c r="P11" s="41">
        <v>15018000</v>
      </c>
      <c r="Q11" s="41">
        <v>23469000</v>
      </c>
      <c r="R11" s="42">
        <v>66146000</v>
      </c>
      <c r="S11" s="41">
        <v>17301000</v>
      </c>
      <c r="T11" s="41">
        <v>22700000</v>
      </c>
      <c r="U11" s="41">
        <v>23974000</v>
      </c>
      <c r="V11" s="41">
        <f t="shared" si="0"/>
        <v>36841000</v>
      </c>
      <c r="W11" s="42">
        <v>100816000</v>
      </c>
      <c r="X11" s="41">
        <v>39969000</v>
      </c>
      <c r="Y11" s="41">
        <v>37606000</v>
      </c>
      <c r="Z11" s="41">
        <v>40920000</v>
      </c>
      <c r="AA11" s="41">
        <v>37614000</v>
      </c>
      <c r="AB11" s="42">
        <f t="shared" si="1"/>
        <v>156109000</v>
      </c>
      <c r="AC11" s="41">
        <f>SUM(AC7:AC10)</f>
        <v>26128000</v>
      </c>
      <c r="AD11" s="41">
        <f>SUM(AD7:AD10)</f>
        <v>34198792.469999999</v>
      </c>
      <c r="AE11" s="41">
        <v>29713000</v>
      </c>
      <c r="AF11" s="123"/>
      <c r="AG11" s="123"/>
    </row>
    <row r="12" spans="1:33" ht="15" customHeight="1" x14ac:dyDescent="0.25">
      <c r="A12" s="8"/>
      <c r="B12" s="15" t="s">
        <v>21</v>
      </c>
      <c r="C12" s="8"/>
      <c r="D12" s="43">
        <v>-0.2381685802296275</v>
      </c>
      <c r="E12" s="43">
        <v>-0.1464401294498382</v>
      </c>
      <c r="F12" s="43">
        <v>-0.10510460536398447</v>
      </c>
      <c r="G12" s="43">
        <v>7.9115951313260657E-2</v>
      </c>
      <c r="H12" s="44">
        <v>-0.1073186476236585</v>
      </c>
      <c r="I12" s="43">
        <v>0.2837713655578018</v>
      </c>
      <c r="J12" s="43">
        <v>0.64777251184834128</v>
      </c>
      <c r="K12" s="43">
        <v>0.58390410958904104</v>
      </c>
      <c r="L12" s="43">
        <v>0.40985309393085029</v>
      </c>
      <c r="M12" s="44">
        <v>0.47231888642834546</v>
      </c>
      <c r="N12" s="43">
        <v>0.82820329277022187</v>
      </c>
      <c r="O12" s="43">
        <v>0.71295444086516335</v>
      </c>
      <c r="P12" s="43">
        <v>1.0289999999999999</v>
      </c>
      <c r="Q12" s="43">
        <v>1.4701610356804546</v>
      </c>
      <c r="R12" s="44">
        <v>1.0303886058076002</v>
      </c>
      <c r="S12" s="43">
        <v>0.35499999999999998</v>
      </c>
      <c r="T12" s="43">
        <v>0.52500000000000002</v>
      </c>
      <c r="U12" s="43">
        <v>0.59628445864962043</v>
      </c>
      <c r="V12" s="43">
        <v>0.56999999999999995</v>
      </c>
      <c r="W12" s="44">
        <v>0.52400000000000002</v>
      </c>
      <c r="X12" s="43">
        <f>(X11-S11)/S11</f>
        <v>1.3102132824692214</v>
      </c>
      <c r="Y12" s="43">
        <v>0.65665198237885458</v>
      </c>
      <c r="Z12" s="43">
        <v>0.70699999999999996</v>
      </c>
      <c r="AA12" s="43">
        <v>2.1000000000000001E-2</v>
      </c>
      <c r="AB12" s="44">
        <v>0.54800000000000004</v>
      </c>
      <c r="AC12" s="43">
        <f>(AC11-X11)/X11</f>
        <v>-0.3462933773674598</v>
      </c>
      <c r="AD12" s="43">
        <f>(AD11-Y11)/Y11</f>
        <v>-9.0602763654735977E-2</v>
      </c>
      <c r="AE12" s="43">
        <f>(AE11-Z11)/Z11</f>
        <v>-0.27387585532746822</v>
      </c>
      <c r="AF12" s="123"/>
      <c r="AG12" s="123"/>
    </row>
    <row r="13" spans="1:33" ht="13.9" customHeight="1" x14ac:dyDescent="0.25">
      <c r="A13" s="8"/>
      <c r="B13" s="15"/>
      <c r="C13" s="40"/>
      <c r="D13" s="8"/>
      <c r="E13" s="8"/>
      <c r="F13" s="8"/>
      <c r="G13" s="8"/>
      <c r="H13" s="38"/>
      <c r="I13" s="8"/>
      <c r="J13" s="8"/>
      <c r="K13" s="8"/>
      <c r="L13" s="8"/>
      <c r="M13" s="38"/>
      <c r="N13" s="8"/>
      <c r="O13" s="8"/>
      <c r="P13" s="8"/>
      <c r="Q13" s="8"/>
      <c r="R13" s="38"/>
      <c r="S13" s="8"/>
      <c r="T13" s="8"/>
      <c r="U13" s="8"/>
      <c r="V13" s="8"/>
      <c r="W13" s="38"/>
      <c r="X13" s="8"/>
      <c r="Y13" s="8"/>
      <c r="Z13" s="8"/>
      <c r="AA13" s="8"/>
      <c r="AB13" s="38"/>
      <c r="AC13" s="8"/>
      <c r="AD13" s="8"/>
      <c r="AE13" s="8"/>
      <c r="AF13" s="123"/>
      <c r="AG13" s="123"/>
    </row>
    <row r="14" spans="1:33" ht="18" customHeight="1" x14ac:dyDescent="0.25">
      <c r="A14" s="8"/>
      <c r="B14" s="15" t="s">
        <v>22</v>
      </c>
      <c r="C14" s="40"/>
      <c r="D14" s="8"/>
      <c r="E14" s="8"/>
      <c r="F14" s="8"/>
      <c r="G14" s="8"/>
      <c r="H14" s="46"/>
      <c r="I14" s="8"/>
      <c r="J14" s="8"/>
      <c r="K14" s="8"/>
      <c r="L14" s="8"/>
      <c r="M14" s="46"/>
      <c r="N14" s="8"/>
      <c r="O14" s="8"/>
      <c r="P14" s="8"/>
      <c r="Q14" s="8"/>
      <c r="R14" s="46"/>
      <c r="S14" s="8"/>
      <c r="T14" s="8"/>
      <c r="U14" s="8"/>
      <c r="V14" s="8"/>
      <c r="W14" s="46"/>
      <c r="X14" s="8"/>
      <c r="Y14" s="8"/>
      <c r="Z14" s="8"/>
      <c r="AA14" s="8"/>
      <c r="AB14" s="46"/>
      <c r="AC14" s="8"/>
      <c r="AD14" s="8"/>
      <c r="AE14" s="8"/>
      <c r="AF14" s="123"/>
      <c r="AG14" s="123"/>
    </row>
    <row r="15" spans="1:33" x14ac:dyDescent="0.25">
      <c r="A15" s="8"/>
      <c r="B15" s="20" t="s">
        <v>23</v>
      </c>
      <c r="C15" s="24"/>
      <c r="D15" s="22">
        <v>0</v>
      </c>
      <c r="E15" s="22">
        <v>0</v>
      </c>
      <c r="F15" s="22">
        <v>0</v>
      </c>
      <c r="G15" s="22">
        <v>0</v>
      </c>
      <c r="H15" s="47">
        <v>0</v>
      </c>
      <c r="I15" s="22">
        <v>0</v>
      </c>
      <c r="J15" s="22">
        <v>0</v>
      </c>
      <c r="K15" s="22">
        <v>0</v>
      </c>
      <c r="L15" s="22">
        <v>0</v>
      </c>
      <c r="M15" s="47">
        <v>0</v>
      </c>
      <c r="N15" s="22">
        <v>0</v>
      </c>
      <c r="O15" s="22">
        <v>0</v>
      </c>
      <c r="P15" s="22">
        <v>0</v>
      </c>
      <c r="Q15" s="22">
        <v>0</v>
      </c>
      <c r="R15" s="47">
        <v>0</v>
      </c>
      <c r="S15" s="22">
        <v>0</v>
      </c>
      <c r="T15" s="22">
        <v>0</v>
      </c>
      <c r="U15" s="22">
        <v>0</v>
      </c>
      <c r="V15" s="22">
        <f t="shared" ref="V15:V17" si="2">W15-U15-T15-S15</f>
        <v>0</v>
      </c>
      <c r="W15" s="47">
        <v>0</v>
      </c>
      <c r="X15" s="22">
        <v>0</v>
      </c>
      <c r="Y15" s="22">
        <v>0</v>
      </c>
      <c r="Z15" s="22">
        <v>0</v>
      </c>
      <c r="AA15" s="22">
        <v>0</v>
      </c>
      <c r="AB15" s="47">
        <f t="shared" ref="AB15:AB18" si="3">SUM(X15:AA15)</f>
        <v>0</v>
      </c>
      <c r="AC15" s="22">
        <v>0</v>
      </c>
      <c r="AD15" s="22">
        <v>0</v>
      </c>
      <c r="AE15" s="22">
        <v>0</v>
      </c>
      <c r="AF15" s="123"/>
      <c r="AG15" s="123"/>
    </row>
    <row r="16" spans="1:33" x14ac:dyDescent="0.25">
      <c r="A16" s="8"/>
      <c r="B16" s="20" t="s">
        <v>25</v>
      </c>
      <c r="C16" s="39"/>
      <c r="D16" s="22">
        <v>0</v>
      </c>
      <c r="E16" s="22">
        <v>0</v>
      </c>
      <c r="F16" s="22">
        <v>0</v>
      </c>
      <c r="G16" s="22">
        <v>0</v>
      </c>
      <c r="H16" s="47">
        <v>0</v>
      </c>
      <c r="I16" s="22">
        <v>0</v>
      </c>
      <c r="J16" s="22">
        <v>0</v>
      </c>
      <c r="K16" s="22">
        <v>0</v>
      </c>
      <c r="L16" s="22">
        <v>0</v>
      </c>
      <c r="M16" s="47">
        <v>0</v>
      </c>
      <c r="N16" s="22">
        <v>0</v>
      </c>
      <c r="O16" s="22">
        <v>0</v>
      </c>
      <c r="P16" s="22">
        <v>0</v>
      </c>
      <c r="Q16" s="22">
        <v>0</v>
      </c>
      <c r="R16" s="47">
        <v>0</v>
      </c>
      <c r="S16" s="22">
        <v>0</v>
      </c>
      <c r="T16" s="22">
        <v>0</v>
      </c>
      <c r="U16" s="22">
        <v>0</v>
      </c>
      <c r="V16" s="22">
        <f t="shared" si="2"/>
        <v>0</v>
      </c>
      <c r="W16" s="47">
        <v>0</v>
      </c>
      <c r="X16" s="22">
        <v>0</v>
      </c>
      <c r="Y16" s="22">
        <v>0</v>
      </c>
      <c r="Z16" s="22">
        <v>0</v>
      </c>
      <c r="AA16" s="22">
        <v>0</v>
      </c>
      <c r="AB16" s="47">
        <f t="shared" si="3"/>
        <v>0</v>
      </c>
      <c r="AC16" s="22">
        <v>0</v>
      </c>
      <c r="AD16" s="22">
        <v>0</v>
      </c>
      <c r="AE16" s="22">
        <v>0</v>
      </c>
      <c r="AF16" s="123"/>
      <c r="AG16" s="123"/>
    </row>
    <row r="17" spans="1:33" x14ac:dyDescent="0.25">
      <c r="A17" s="8"/>
      <c r="B17" s="20" t="s">
        <v>26</v>
      </c>
      <c r="C17" s="39"/>
      <c r="D17" s="22">
        <v>2982000</v>
      </c>
      <c r="E17" s="22">
        <v>3063000</v>
      </c>
      <c r="F17" s="22">
        <v>2540000</v>
      </c>
      <c r="G17" s="22">
        <v>3805000</v>
      </c>
      <c r="H17" s="47">
        <v>12390000</v>
      </c>
      <c r="I17" s="22">
        <v>3375000</v>
      </c>
      <c r="J17" s="22">
        <v>4624000</v>
      </c>
      <c r="K17" s="22">
        <v>3902000</v>
      </c>
      <c r="L17" s="22">
        <v>6298000</v>
      </c>
      <c r="M17" s="47">
        <v>18199000</v>
      </c>
      <c r="N17" s="22">
        <v>8141000</v>
      </c>
      <c r="O17" s="22">
        <v>10480000</v>
      </c>
      <c r="P17" s="22">
        <v>11302000</v>
      </c>
      <c r="Q17" s="22">
        <v>18591000</v>
      </c>
      <c r="R17" s="47">
        <v>48514000</v>
      </c>
      <c r="S17" s="22">
        <v>12524000</v>
      </c>
      <c r="T17" s="22">
        <v>18038000</v>
      </c>
      <c r="U17" s="22">
        <v>19070000</v>
      </c>
      <c r="V17" s="22">
        <f t="shared" si="2"/>
        <v>30502000</v>
      </c>
      <c r="W17" s="47">
        <v>80134000</v>
      </c>
      <c r="X17" s="22">
        <v>33077000</v>
      </c>
      <c r="Y17" s="22">
        <v>29543000</v>
      </c>
      <c r="Z17" s="22">
        <v>33570000</v>
      </c>
      <c r="AA17" s="22">
        <v>30413000</v>
      </c>
      <c r="AB17" s="47">
        <f t="shared" si="3"/>
        <v>126603000</v>
      </c>
      <c r="AC17" s="22">
        <v>18742000</v>
      </c>
      <c r="AD17" s="22">
        <v>26606965.960000001</v>
      </c>
      <c r="AE17" s="22">
        <v>22834000</v>
      </c>
      <c r="AF17" s="123"/>
      <c r="AG17" s="123"/>
    </row>
    <row r="18" spans="1:33" ht="15.75" thickBot="1" x14ac:dyDescent="0.3">
      <c r="A18" s="8"/>
      <c r="B18" s="48" t="s">
        <v>27</v>
      </c>
      <c r="C18" s="49"/>
      <c r="D18" s="109">
        <v>2459000</v>
      </c>
      <c r="E18" s="109">
        <v>2212000</v>
      </c>
      <c r="F18" s="109">
        <v>2132353.96</v>
      </c>
      <c r="G18" s="109">
        <v>2933000</v>
      </c>
      <c r="H18" s="110">
        <v>9736000</v>
      </c>
      <c r="I18" s="109">
        <v>3610000</v>
      </c>
      <c r="J18" s="109">
        <v>4068000</v>
      </c>
      <c r="K18" s="109">
        <v>3498000</v>
      </c>
      <c r="L18" s="109">
        <v>3203000</v>
      </c>
      <c r="M18" s="110">
        <v>14379000</v>
      </c>
      <c r="N18" s="109">
        <v>4629000</v>
      </c>
      <c r="O18" s="109">
        <v>4409000</v>
      </c>
      <c r="P18" s="109">
        <v>3716000</v>
      </c>
      <c r="Q18" s="109">
        <v>4878000</v>
      </c>
      <c r="R18" s="110">
        <v>17632000</v>
      </c>
      <c r="S18" s="109">
        <v>4777000</v>
      </c>
      <c r="T18" s="109">
        <v>4662000</v>
      </c>
      <c r="U18" s="109">
        <v>4904000</v>
      </c>
      <c r="V18" s="109">
        <v>6339000</v>
      </c>
      <c r="W18" s="110">
        <v>20682000</v>
      </c>
      <c r="X18" s="109">
        <v>6892000</v>
      </c>
      <c r="Y18" s="109">
        <v>8063000</v>
      </c>
      <c r="Z18" s="109">
        <v>7350000</v>
      </c>
      <c r="AA18" s="109">
        <v>7203000</v>
      </c>
      <c r="AB18" s="110">
        <f t="shared" si="3"/>
        <v>29508000</v>
      </c>
      <c r="AC18" s="109">
        <v>7374000</v>
      </c>
      <c r="AD18" s="109">
        <v>7591826.5100000063</v>
      </c>
      <c r="AE18" s="109">
        <v>6879000</v>
      </c>
      <c r="AF18" s="123"/>
      <c r="AG18" s="123"/>
    </row>
    <row r="19" spans="1:33" x14ac:dyDescent="0.25">
      <c r="A19" s="8"/>
      <c r="B19" s="53" t="s">
        <v>28</v>
      </c>
      <c r="C19" s="54"/>
      <c r="D19" s="55">
        <v>0.45193898180481529</v>
      </c>
      <c r="E19" s="55">
        <v>0.41933649289099528</v>
      </c>
      <c r="F19" s="55">
        <v>0.45626042861457677</v>
      </c>
      <c r="G19" s="55">
        <v>0.43529237162362722</v>
      </c>
      <c r="H19" s="56">
        <v>0.44002530959052699</v>
      </c>
      <c r="I19" s="55">
        <v>0.5168217609162491</v>
      </c>
      <c r="J19" s="55">
        <v>0.46801656695812244</v>
      </c>
      <c r="K19" s="55">
        <v>0.4727027027027027</v>
      </c>
      <c r="L19" s="55">
        <v>0.33712240816756128</v>
      </c>
      <c r="M19" s="56">
        <v>0.44137147768432683</v>
      </c>
      <c r="N19" s="55">
        <v>0.36249021143304622</v>
      </c>
      <c r="O19" s="55">
        <v>0.29612465578615083</v>
      </c>
      <c r="P19" s="55">
        <v>0.247</v>
      </c>
      <c r="Q19" s="55">
        <v>0.20784865141250161</v>
      </c>
      <c r="R19" s="56">
        <v>0.26656184803313882</v>
      </c>
      <c r="S19" s="55">
        <v>0.27600000000000002</v>
      </c>
      <c r="T19" s="55">
        <v>0.20499999999999999</v>
      </c>
      <c r="U19" s="55">
        <v>0.20452175363951111</v>
      </c>
      <c r="V19" s="55">
        <v>0.17199999999999999</v>
      </c>
      <c r="W19" s="56">
        <v>0.20499999999999999</v>
      </c>
      <c r="X19" s="55">
        <f>X18/X11</f>
        <v>0.17243363606795267</v>
      </c>
      <c r="Y19" s="55">
        <v>0.21440727543477106</v>
      </c>
      <c r="Z19" s="55">
        <v>0.18</v>
      </c>
      <c r="AA19" s="55"/>
      <c r="AB19" s="56"/>
      <c r="AC19" s="55">
        <f>AC18/AC11</f>
        <v>0.28222596448254744</v>
      </c>
      <c r="AD19" s="55">
        <f>AD18/AD11</f>
        <v>0.22199106932385809</v>
      </c>
      <c r="AE19" s="55">
        <f>AE18/AE11</f>
        <v>0.23151482516070407</v>
      </c>
      <c r="AF19" s="123"/>
      <c r="AG19" s="123"/>
    </row>
    <row r="20" spans="1:33" ht="16.899999999999999" customHeight="1" x14ac:dyDescent="0.25">
      <c r="A20" s="8"/>
      <c r="B20" s="48" t="s">
        <v>29</v>
      </c>
      <c r="C20" s="49"/>
      <c r="D20" s="8"/>
      <c r="E20" s="8"/>
      <c r="F20" s="8"/>
      <c r="G20" s="8"/>
      <c r="H20" s="57"/>
      <c r="I20" s="8"/>
      <c r="J20" s="8"/>
      <c r="K20" s="8"/>
      <c r="L20" s="8"/>
      <c r="M20" s="57"/>
      <c r="N20" s="8"/>
      <c r="O20" s="8"/>
      <c r="P20" s="8"/>
      <c r="Q20" s="8"/>
      <c r="R20" s="57"/>
      <c r="S20" s="8"/>
      <c r="T20" s="8"/>
      <c r="U20" s="8"/>
      <c r="V20" s="8"/>
      <c r="W20" s="57"/>
      <c r="X20" s="8"/>
      <c r="Y20" s="8"/>
      <c r="Z20" s="8"/>
      <c r="AA20" s="8"/>
      <c r="AB20" s="57"/>
      <c r="AC20" s="8"/>
      <c r="AD20" s="8"/>
      <c r="AE20" s="8"/>
      <c r="AF20" s="123"/>
      <c r="AG20" s="123"/>
    </row>
    <row r="21" spans="1:33" ht="15" customHeight="1" x14ac:dyDescent="0.25">
      <c r="A21" s="8"/>
      <c r="B21" s="20" t="s">
        <v>30</v>
      </c>
      <c r="C21" s="24"/>
      <c r="D21" s="22">
        <v>0</v>
      </c>
      <c r="E21" s="22">
        <v>0</v>
      </c>
      <c r="F21" s="22">
        <v>0</v>
      </c>
      <c r="G21" s="22">
        <v>0</v>
      </c>
      <c r="H21" s="47">
        <v>0</v>
      </c>
      <c r="I21" s="22">
        <v>0</v>
      </c>
      <c r="J21" s="22">
        <v>0</v>
      </c>
      <c r="K21" s="22">
        <v>0</v>
      </c>
      <c r="L21" s="22">
        <v>0</v>
      </c>
      <c r="M21" s="47">
        <v>0</v>
      </c>
      <c r="N21" s="22">
        <v>0</v>
      </c>
      <c r="O21" s="22">
        <v>0</v>
      </c>
      <c r="P21" s="22">
        <v>0</v>
      </c>
      <c r="Q21" s="22">
        <v>0</v>
      </c>
      <c r="R21" s="47">
        <v>0</v>
      </c>
      <c r="S21" s="22">
        <v>0</v>
      </c>
      <c r="T21" s="22">
        <v>0</v>
      </c>
      <c r="U21" s="22">
        <v>0</v>
      </c>
      <c r="V21" s="22">
        <f t="shared" ref="V21:V24" si="4">W21-U21-T21-S21</f>
        <v>0</v>
      </c>
      <c r="W21" s="47">
        <v>0</v>
      </c>
      <c r="X21" s="22">
        <v>0</v>
      </c>
      <c r="Y21" s="22">
        <v>0</v>
      </c>
      <c r="Z21" s="22">
        <v>0</v>
      </c>
      <c r="AA21" s="22">
        <v>0</v>
      </c>
      <c r="AB21" s="47">
        <f t="shared" ref="AB21:AB25" si="5">SUM(X21:AA21)</f>
        <v>0</v>
      </c>
      <c r="AC21" s="22">
        <v>0</v>
      </c>
      <c r="AD21" s="22">
        <v>0</v>
      </c>
      <c r="AE21" s="22">
        <v>0</v>
      </c>
      <c r="AF21" s="123"/>
      <c r="AG21" s="123"/>
    </row>
    <row r="22" spans="1:33" x14ac:dyDescent="0.25">
      <c r="A22" s="8"/>
      <c r="B22" s="20" t="s">
        <v>31</v>
      </c>
      <c r="C22" s="24"/>
      <c r="D22" s="22">
        <v>0</v>
      </c>
      <c r="E22" s="22">
        <v>0</v>
      </c>
      <c r="F22" s="22">
        <v>0</v>
      </c>
      <c r="G22" s="22">
        <v>0</v>
      </c>
      <c r="H22" s="47">
        <v>0</v>
      </c>
      <c r="I22" s="22">
        <v>828000</v>
      </c>
      <c r="J22" s="22">
        <v>728000</v>
      </c>
      <c r="K22" s="22">
        <v>798000</v>
      </c>
      <c r="L22" s="22">
        <v>1020000</v>
      </c>
      <c r="M22" s="47">
        <v>3374000</v>
      </c>
      <c r="N22" s="22">
        <v>1422000</v>
      </c>
      <c r="O22" s="22">
        <v>739000</v>
      </c>
      <c r="P22" s="22">
        <v>1167000</v>
      </c>
      <c r="Q22" s="22">
        <v>1313000</v>
      </c>
      <c r="R22" s="47">
        <v>4641000</v>
      </c>
      <c r="S22" s="22">
        <v>926000</v>
      </c>
      <c r="T22" s="22">
        <v>932000</v>
      </c>
      <c r="U22" s="22">
        <v>897000</v>
      </c>
      <c r="V22" s="22">
        <f t="shared" si="4"/>
        <v>1463000</v>
      </c>
      <c r="W22" s="47">
        <v>4218000</v>
      </c>
      <c r="X22" s="22">
        <v>1252000</v>
      </c>
      <c r="Y22" s="22">
        <v>1437000</v>
      </c>
      <c r="Z22" s="22">
        <v>1468000</v>
      </c>
      <c r="AA22" s="22">
        <v>1496000</v>
      </c>
      <c r="AB22" s="47">
        <f t="shared" si="5"/>
        <v>5653000</v>
      </c>
      <c r="AC22" s="22">
        <v>1528000</v>
      </c>
      <c r="AD22" s="22">
        <f>'[2]FRA Consolidated'!$HU$29*1000</f>
        <v>1255694.1699999995</v>
      </c>
      <c r="AE22" s="22">
        <v>1175000</v>
      </c>
      <c r="AF22" s="123"/>
      <c r="AG22" s="123"/>
    </row>
    <row r="23" spans="1:33" x14ac:dyDescent="0.25">
      <c r="A23" s="8"/>
      <c r="B23" s="15" t="s">
        <v>32</v>
      </c>
      <c r="C23" s="24"/>
      <c r="D23" s="22">
        <v>974000</v>
      </c>
      <c r="E23" s="22">
        <v>1076000</v>
      </c>
      <c r="F23" s="22">
        <v>1055000</v>
      </c>
      <c r="G23" s="22">
        <v>1373000</v>
      </c>
      <c r="H23" s="47">
        <v>4478000</v>
      </c>
      <c r="I23" s="22">
        <v>1482000</v>
      </c>
      <c r="J23" s="22">
        <v>1387000</v>
      </c>
      <c r="K23" s="22">
        <v>2133000</v>
      </c>
      <c r="L23" s="22">
        <v>1446000</v>
      </c>
      <c r="M23" s="47">
        <v>6448000</v>
      </c>
      <c r="N23" s="22">
        <v>1399000</v>
      </c>
      <c r="O23" s="22">
        <v>1858000</v>
      </c>
      <c r="P23" s="22">
        <v>1411000</v>
      </c>
      <c r="Q23" s="22">
        <v>1073000</v>
      </c>
      <c r="R23" s="47">
        <v>5741000</v>
      </c>
      <c r="S23" s="22">
        <v>1329000</v>
      </c>
      <c r="T23" s="22">
        <v>691000</v>
      </c>
      <c r="U23" s="22">
        <v>846000</v>
      </c>
      <c r="V23" s="22">
        <v>988000</v>
      </c>
      <c r="W23" s="47">
        <v>3854000</v>
      </c>
      <c r="X23" s="22">
        <v>639000</v>
      </c>
      <c r="Y23" s="22">
        <v>914000</v>
      </c>
      <c r="Z23" s="22">
        <v>1042000</v>
      </c>
      <c r="AA23" s="22">
        <v>846000</v>
      </c>
      <c r="AB23" s="47">
        <f t="shared" si="5"/>
        <v>3441000</v>
      </c>
      <c r="AC23" s="22">
        <v>1031000</v>
      </c>
      <c r="AD23" s="22">
        <f>'[2]FRA Consolidated'!$HU$30*1000</f>
        <v>995090.21999999986</v>
      </c>
      <c r="AE23" s="22">
        <v>592000</v>
      </c>
      <c r="AF23" s="123"/>
      <c r="AG23" s="123"/>
    </row>
    <row r="24" spans="1:33" x14ac:dyDescent="0.25">
      <c r="A24" s="8"/>
      <c r="B24" s="58" t="s">
        <v>33</v>
      </c>
      <c r="C24" s="59"/>
      <c r="D24" s="22">
        <v>44000</v>
      </c>
      <c r="E24" s="22">
        <v>44000</v>
      </c>
      <c r="F24" s="22">
        <v>45000</v>
      </c>
      <c r="G24" s="22">
        <v>44000</v>
      </c>
      <c r="H24" s="47">
        <v>177000</v>
      </c>
      <c r="I24" s="22">
        <v>44000</v>
      </c>
      <c r="J24" s="22">
        <v>44000</v>
      </c>
      <c r="K24" s="22">
        <v>45000</v>
      </c>
      <c r="L24" s="22">
        <v>39000</v>
      </c>
      <c r="M24" s="47">
        <v>172000</v>
      </c>
      <c r="N24" s="22">
        <v>30000</v>
      </c>
      <c r="O24" s="22">
        <v>9000</v>
      </c>
      <c r="P24" s="22">
        <v>3000</v>
      </c>
      <c r="Q24" s="22">
        <v>3000</v>
      </c>
      <c r="R24" s="47">
        <v>45000</v>
      </c>
      <c r="S24" s="22">
        <v>3000</v>
      </c>
      <c r="T24" s="22">
        <v>10000</v>
      </c>
      <c r="U24" s="22">
        <v>15000</v>
      </c>
      <c r="V24" s="22">
        <f t="shared" si="4"/>
        <v>12000</v>
      </c>
      <c r="W24" s="47">
        <v>40000</v>
      </c>
      <c r="X24" s="22">
        <v>16000</v>
      </c>
      <c r="Y24" s="22">
        <v>18000</v>
      </c>
      <c r="Z24" s="22">
        <v>24000</v>
      </c>
      <c r="AA24" s="22">
        <v>35000</v>
      </c>
      <c r="AB24" s="47">
        <f t="shared" si="5"/>
        <v>93000</v>
      </c>
      <c r="AC24" s="22">
        <v>37000</v>
      </c>
      <c r="AD24" s="22">
        <f>'[2]FRA Consolidated'!$HU$31*1000</f>
        <v>37593.71</v>
      </c>
      <c r="AE24" s="22">
        <v>35000</v>
      </c>
      <c r="AF24" s="123"/>
      <c r="AG24" s="123"/>
    </row>
    <row r="25" spans="1:33" ht="15.75" thickBot="1" x14ac:dyDescent="0.3">
      <c r="A25" s="8"/>
      <c r="B25" s="15" t="s">
        <v>34</v>
      </c>
      <c r="C25" s="61"/>
      <c r="D25" s="50">
        <v>1018000</v>
      </c>
      <c r="E25" s="50">
        <v>1120000</v>
      </c>
      <c r="F25" s="50">
        <v>1100000</v>
      </c>
      <c r="G25" s="50">
        <v>1417000</v>
      </c>
      <c r="H25" s="51">
        <v>4655000</v>
      </c>
      <c r="I25" s="50">
        <v>2354000</v>
      </c>
      <c r="J25" s="50">
        <v>2159000</v>
      </c>
      <c r="K25" s="50">
        <v>2976000</v>
      </c>
      <c r="L25" s="50">
        <v>2505000</v>
      </c>
      <c r="M25" s="51">
        <v>9994000</v>
      </c>
      <c r="N25" s="50">
        <v>2851000</v>
      </c>
      <c r="O25" s="50">
        <v>2606000</v>
      </c>
      <c r="P25" s="50">
        <v>2581000</v>
      </c>
      <c r="Q25" s="50">
        <v>2389000</v>
      </c>
      <c r="R25" s="51">
        <v>10427000</v>
      </c>
      <c r="S25" s="50">
        <v>2258000</v>
      </c>
      <c r="T25" s="50">
        <v>1633000</v>
      </c>
      <c r="U25" s="50">
        <v>1758000</v>
      </c>
      <c r="V25" s="50">
        <v>2463000</v>
      </c>
      <c r="W25" s="51">
        <v>8112000</v>
      </c>
      <c r="X25" s="50">
        <v>1907000</v>
      </c>
      <c r="Y25" s="50">
        <v>2369000</v>
      </c>
      <c r="Z25" s="50">
        <v>2534000</v>
      </c>
      <c r="AA25" s="50">
        <v>2377000</v>
      </c>
      <c r="AB25" s="51">
        <f t="shared" si="5"/>
        <v>9187000</v>
      </c>
      <c r="AC25" s="50">
        <f>SUM(AC21:AC24)</f>
        <v>2596000</v>
      </c>
      <c r="AD25" s="50">
        <f>SUM(AD21:AD24)</f>
        <v>2288378.0999999992</v>
      </c>
      <c r="AE25" s="50">
        <v>1802000</v>
      </c>
      <c r="AF25" s="123"/>
      <c r="AG25" s="123"/>
    </row>
    <row r="26" spans="1:33" x14ac:dyDescent="0.25">
      <c r="A26" s="8"/>
      <c r="B26" s="15"/>
      <c r="C26" s="40"/>
      <c r="D26" s="8"/>
      <c r="E26" s="8"/>
      <c r="F26" s="8"/>
      <c r="G26" s="8"/>
      <c r="H26" s="47"/>
      <c r="I26" s="8"/>
      <c r="J26" s="8"/>
      <c r="K26" s="8"/>
      <c r="L26" s="8"/>
      <c r="M26" s="47"/>
      <c r="N26" s="8"/>
      <c r="O26" s="8"/>
      <c r="P26" s="8"/>
      <c r="Q26" s="8"/>
      <c r="R26" s="47"/>
      <c r="S26" s="8"/>
      <c r="T26" s="8"/>
      <c r="U26" s="8"/>
      <c r="V26" s="8"/>
      <c r="W26" s="47"/>
      <c r="X26" s="8"/>
      <c r="Y26" s="8"/>
      <c r="Z26" s="8"/>
      <c r="AA26" s="8"/>
      <c r="AB26" s="47"/>
      <c r="AC26" s="8"/>
      <c r="AD26" s="8"/>
      <c r="AE26" s="8"/>
      <c r="AF26" s="123"/>
      <c r="AG26" s="123"/>
    </row>
    <row r="27" spans="1:33" ht="13.9" customHeight="1" thickBot="1" x14ac:dyDescent="0.3">
      <c r="A27" s="8"/>
      <c r="B27" s="15" t="s">
        <v>92</v>
      </c>
      <c r="C27" s="61"/>
      <c r="D27" s="62">
        <v>1441000</v>
      </c>
      <c r="E27" s="62">
        <v>1092000</v>
      </c>
      <c r="F27" s="62">
        <v>1032000</v>
      </c>
      <c r="G27" s="62">
        <v>1516000</v>
      </c>
      <c r="H27" s="100">
        <v>5081000</v>
      </c>
      <c r="I27" s="62">
        <v>1256000</v>
      </c>
      <c r="J27" s="62">
        <v>1909000</v>
      </c>
      <c r="K27" s="62">
        <v>522000</v>
      </c>
      <c r="L27" s="62">
        <v>698000</v>
      </c>
      <c r="M27" s="100">
        <v>4385000</v>
      </c>
      <c r="N27" s="62">
        <v>1778000</v>
      </c>
      <c r="O27" s="62">
        <v>1803000</v>
      </c>
      <c r="P27" s="62">
        <v>1135000</v>
      </c>
      <c r="Q27" s="62">
        <v>2489000</v>
      </c>
      <c r="R27" s="100">
        <v>7205000</v>
      </c>
      <c r="S27" s="62">
        <v>2519000</v>
      </c>
      <c r="T27" s="62">
        <v>3029000</v>
      </c>
      <c r="U27" s="62">
        <v>3146000</v>
      </c>
      <c r="V27" s="62">
        <f t="shared" ref="V27" si="6">W27-U27-T27-S27</f>
        <v>3876000</v>
      </c>
      <c r="W27" s="100">
        <v>12570000</v>
      </c>
      <c r="X27" s="62">
        <v>4985000</v>
      </c>
      <c r="Y27" s="62">
        <v>5694000</v>
      </c>
      <c r="Z27" s="62">
        <v>4816000</v>
      </c>
      <c r="AA27" s="62">
        <v>4826000</v>
      </c>
      <c r="AB27" s="100">
        <f t="shared" ref="AB27" si="7">SUM(X27:AA27)</f>
        <v>20321000</v>
      </c>
      <c r="AC27" s="62">
        <f>+AC18-AC25</f>
        <v>4778000</v>
      </c>
      <c r="AD27" s="62">
        <f>+AD18-AD25</f>
        <v>5303448.4100000076</v>
      </c>
      <c r="AE27" s="62">
        <v>5077000</v>
      </c>
      <c r="AF27" s="123"/>
      <c r="AG27" s="123"/>
    </row>
    <row r="28" spans="1:33" x14ac:dyDescent="0.25">
      <c r="A28" s="8"/>
      <c r="B28" s="53" t="s">
        <v>28</v>
      </c>
      <c r="C28" s="54"/>
      <c r="D28" s="55">
        <v>0.26484102187097958</v>
      </c>
      <c r="E28" s="55">
        <v>0.20701421800947867</v>
      </c>
      <c r="F28" s="55">
        <v>0.22078266147915726</v>
      </c>
      <c r="G28" s="55">
        <v>0.22499257940041556</v>
      </c>
      <c r="H28" s="56">
        <v>0.22968453403236011</v>
      </c>
      <c r="I28" s="55">
        <v>0.17981388690050107</v>
      </c>
      <c r="J28" s="55">
        <v>0.21962724344224574</v>
      </c>
      <c r="K28" s="55">
        <v>7.0540540540540542E-2</v>
      </c>
      <c r="L28" s="55">
        <v>7.3465950952531306E-2</v>
      </c>
      <c r="M28" s="56">
        <v>0.1346000368346737</v>
      </c>
      <c r="N28" s="55">
        <v>0.13923257635082223</v>
      </c>
      <c r="O28" s="55">
        <v>0.12109611122305057</v>
      </c>
      <c r="P28" s="55">
        <v>7.5999999999999998E-2</v>
      </c>
      <c r="Q28" s="55">
        <v>0.10605479568792876</v>
      </c>
      <c r="R28" s="56">
        <v>0.10892570979348713</v>
      </c>
      <c r="S28" s="55">
        <v>0.14599999999999999</v>
      </c>
      <c r="T28" s="55">
        <v>0.13300000000000001</v>
      </c>
      <c r="U28" s="55">
        <v>0.13118925457806699</v>
      </c>
      <c r="V28" s="55">
        <v>0.105</v>
      </c>
      <c r="W28" s="56">
        <v>0.125</v>
      </c>
      <c r="X28" s="55">
        <f>X27/X11</f>
        <v>0.12472165928594661</v>
      </c>
      <c r="Y28" s="55">
        <v>0.15141200872201244</v>
      </c>
      <c r="Z28" s="55">
        <v>0.11799999999999999</v>
      </c>
      <c r="AA28" s="55">
        <v>0.128</v>
      </c>
      <c r="AB28" s="56">
        <v>0.13</v>
      </c>
      <c r="AC28" s="55">
        <f>AC27/AC11</f>
        <v>0.18286895284751989</v>
      </c>
      <c r="AD28" s="55">
        <f>AD27/AD11</f>
        <v>0.15507706638040861</v>
      </c>
      <c r="AE28" s="55">
        <f>AE27/AE11</f>
        <v>0.1708679702487127</v>
      </c>
      <c r="AF28" s="123"/>
      <c r="AG28" s="123"/>
    </row>
    <row r="29" spans="1:33" x14ac:dyDescent="0.25">
      <c r="AF29" s="123"/>
      <c r="AG29" s="123"/>
    </row>
    <row r="30" spans="1:33" x14ac:dyDescent="0.25">
      <c r="AF30" s="123"/>
      <c r="AG30" s="123"/>
    </row>
  </sheetData>
  <mergeCells count="4">
    <mergeCell ref="D4:G4"/>
    <mergeCell ref="I4:L4"/>
    <mergeCell ref="N4:Q4"/>
    <mergeCell ref="S4:V4"/>
  </mergeCells>
  <pageMargins left="0.7" right="0.7" top="0.75" bottom="0.75" header="0.3" footer="0.3"/>
  <pageSetup scale="7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2060"/>
    <pageSetUpPr fitToPage="1"/>
  </sheetPr>
  <dimension ref="A1:AF35"/>
  <sheetViews>
    <sheetView showGridLines="0" view="pageBreakPreview" zoomScale="90" zoomScaleNormal="70" zoomScaleSheetLayoutView="90" workbookViewId="0">
      <pane xSplit="3" ySplit="5" topLeftCell="N6" activePane="bottomRight" state="frozen"/>
      <selection activeCell="AB2" sqref="AB2"/>
      <selection pane="topRight" activeCell="AB2" sqref="AB2"/>
      <selection pane="bottomLeft" activeCell="AB2" sqref="AB2"/>
      <selection pane="bottomRight" activeCell="Z1" sqref="Z1"/>
    </sheetView>
  </sheetViews>
  <sheetFormatPr defaultRowHeight="15" x14ac:dyDescent="0.25"/>
  <cols>
    <col min="1" max="1" width="2.7109375" customWidth="1"/>
    <col min="2" max="2" width="50.7109375" customWidth="1"/>
    <col min="3" max="3" width="1.28515625" customWidth="1"/>
    <col min="4" max="4" width="11.140625" hidden="1" customWidth="1"/>
    <col min="5" max="6" width="11.5703125" hidden="1" customWidth="1"/>
    <col min="7" max="7" width="12" hidden="1" customWidth="1"/>
    <col min="8" max="8" width="12.42578125" hidden="1" customWidth="1"/>
    <col min="9" max="11" width="11.5703125" hidden="1" customWidth="1"/>
    <col min="12" max="13" width="12" hidden="1" customWidth="1"/>
    <col min="14" max="16" width="11.5703125" hidden="1" customWidth="1"/>
    <col min="17" max="18" width="12" hidden="1" customWidth="1"/>
    <col min="19" max="19" width="11.5703125" hidden="1" customWidth="1"/>
    <col min="20" max="21" width="12" hidden="1" customWidth="1"/>
    <col min="22" max="22" width="12.42578125" hidden="1" customWidth="1"/>
    <col min="23" max="23" width="12.42578125" customWidth="1"/>
    <col min="24" max="27" width="12.28515625" customWidth="1"/>
    <col min="28" max="28" width="12.42578125" bestFit="1" customWidth="1"/>
    <col min="29" max="31" width="12.28515625" customWidth="1"/>
    <col min="32" max="32" width="10.85546875" style="123" customWidth="1"/>
  </cols>
  <sheetData>
    <row r="1" spans="1:32" ht="28.5" x14ac:dyDescent="0.45">
      <c r="A1" s="1"/>
      <c r="B1" s="2" t="s">
        <v>0</v>
      </c>
      <c r="C1" s="3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AA1" s="1"/>
      <c r="AB1" s="1"/>
    </row>
    <row r="2" spans="1:32" ht="21" x14ac:dyDescent="0.35">
      <c r="A2" s="1"/>
      <c r="B2" s="4" t="s">
        <v>1</v>
      </c>
      <c r="C2" s="5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AA2" s="1"/>
      <c r="AB2" s="1"/>
    </row>
    <row r="3" spans="1:32" ht="19.5" thickBot="1" x14ac:dyDescent="0.35">
      <c r="A3" s="1"/>
      <c r="B3" s="6" t="s">
        <v>2</v>
      </c>
      <c r="C3" s="7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AA3" s="1"/>
      <c r="AB3" s="1"/>
    </row>
    <row r="4" spans="1:32" ht="16.5" thickTop="1" x14ac:dyDescent="0.25">
      <c r="A4" s="8"/>
      <c r="B4" s="9" t="s">
        <v>108</v>
      </c>
      <c r="C4" s="10"/>
      <c r="D4" s="152" t="s">
        <v>4</v>
      </c>
      <c r="E4" s="153"/>
      <c r="F4" s="153"/>
      <c r="G4" s="154"/>
      <c r="H4" s="11" t="s">
        <v>5</v>
      </c>
      <c r="I4" s="144" t="s">
        <v>4</v>
      </c>
      <c r="J4" s="145"/>
      <c r="K4" s="145"/>
      <c r="L4" s="155"/>
      <c r="M4" s="105" t="s">
        <v>5</v>
      </c>
      <c r="N4" s="149" t="s">
        <v>4</v>
      </c>
      <c r="O4" s="150"/>
      <c r="P4" s="150"/>
      <c r="Q4" s="150"/>
      <c r="R4" s="105" t="s">
        <v>5</v>
      </c>
      <c r="S4" s="149" t="s">
        <v>4</v>
      </c>
      <c r="T4" s="150"/>
      <c r="U4" s="150"/>
      <c r="V4" s="151"/>
      <c r="W4" s="105" t="s">
        <v>5</v>
      </c>
      <c r="X4" s="115" t="s">
        <v>4</v>
      </c>
      <c r="Y4" s="116" t="s">
        <v>4</v>
      </c>
      <c r="Z4" s="116" t="s">
        <v>4</v>
      </c>
      <c r="AA4" s="116" t="s">
        <v>4</v>
      </c>
      <c r="AB4" s="11" t="s">
        <v>5</v>
      </c>
      <c r="AC4" s="115" t="s">
        <v>4</v>
      </c>
      <c r="AD4" s="116" t="s">
        <v>4</v>
      </c>
      <c r="AE4" s="116" t="s">
        <v>4</v>
      </c>
    </row>
    <row r="5" spans="1:32" ht="15.75" thickBot="1" x14ac:dyDescent="0.3">
      <c r="A5" s="8"/>
      <c r="B5" s="12" t="s">
        <v>6</v>
      </c>
      <c r="C5" s="10"/>
      <c r="D5" s="13">
        <v>42825</v>
      </c>
      <c r="E5" s="13">
        <v>42916</v>
      </c>
      <c r="F5" s="13">
        <v>43008</v>
      </c>
      <c r="G5" s="13">
        <v>43100</v>
      </c>
      <c r="H5" s="14">
        <v>2017</v>
      </c>
      <c r="I5" s="13">
        <v>43190</v>
      </c>
      <c r="J5" s="13">
        <v>43281</v>
      </c>
      <c r="K5" s="13" t="s">
        <v>7</v>
      </c>
      <c r="L5" s="13">
        <v>43465</v>
      </c>
      <c r="M5" s="14" t="s">
        <v>8</v>
      </c>
      <c r="N5" s="13">
        <v>43555</v>
      </c>
      <c r="O5" s="13">
        <v>43646</v>
      </c>
      <c r="P5" s="13">
        <v>43738</v>
      </c>
      <c r="Q5" s="13">
        <v>43830</v>
      </c>
      <c r="R5" s="14">
        <v>2019</v>
      </c>
      <c r="S5" s="13">
        <v>43921</v>
      </c>
      <c r="T5" s="13" t="s">
        <v>10</v>
      </c>
      <c r="U5" s="13">
        <v>44104</v>
      </c>
      <c r="V5" s="13">
        <v>44196</v>
      </c>
      <c r="W5" s="14">
        <v>2020</v>
      </c>
      <c r="X5" s="13">
        <v>44286</v>
      </c>
      <c r="Y5" s="13">
        <v>44377</v>
      </c>
      <c r="Z5" s="13">
        <v>44469</v>
      </c>
      <c r="AA5" s="13">
        <v>44561</v>
      </c>
      <c r="AB5" s="14">
        <v>2021</v>
      </c>
      <c r="AC5" s="13">
        <v>44651</v>
      </c>
      <c r="AD5" s="13">
        <v>44742</v>
      </c>
      <c r="AE5" s="13">
        <v>44834</v>
      </c>
      <c r="AF5" s="125"/>
    </row>
    <row r="6" spans="1:32" x14ac:dyDescent="0.25">
      <c r="A6" s="8"/>
      <c r="B6" s="15" t="s">
        <v>11</v>
      </c>
      <c r="C6" s="16"/>
      <c r="D6" s="8"/>
      <c r="E6" s="8"/>
      <c r="F6" s="8"/>
      <c r="G6" s="8"/>
      <c r="H6" s="18"/>
      <c r="I6" s="8"/>
      <c r="J6" s="8"/>
      <c r="K6" s="8"/>
      <c r="L6" s="8"/>
      <c r="M6" s="111"/>
      <c r="N6" s="8"/>
      <c r="O6" s="8"/>
      <c r="P6" s="8"/>
      <c r="Q6" s="8"/>
      <c r="R6" s="111"/>
      <c r="S6" s="8"/>
      <c r="T6" s="8"/>
      <c r="U6" s="8"/>
      <c r="V6" s="8"/>
      <c r="W6" s="111"/>
      <c r="AA6" s="8"/>
      <c r="AB6" s="111"/>
    </row>
    <row r="7" spans="1:32" x14ac:dyDescent="0.25">
      <c r="A7" s="19"/>
      <c r="B7" s="20" t="s">
        <v>12</v>
      </c>
      <c r="C7" s="21"/>
      <c r="D7" s="22">
        <v>0</v>
      </c>
      <c r="E7" s="22">
        <v>0</v>
      </c>
      <c r="F7" s="22">
        <v>0</v>
      </c>
      <c r="G7" s="22">
        <v>0</v>
      </c>
      <c r="H7" s="23">
        <v>0</v>
      </c>
      <c r="I7" s="22">
        <v>0</v>
      </c>
      <c r="J7" s="22">
        <v>0</v>
      </c>
      <c r="K7" s="22">
        <v>0</v>
      </c>
      <c r="L7" s="22">
        <v>0</v>
      </c>
      <c r="M7" s="47">
        <v>0</v>
      </c>
      <c r="N7" s="22">
        <v>0</v>
      </c>
      <c r="O7" s="22">
        <v>0</v>
      </c>
      <c r="P7" s="22">
        <v>0</v>
      </c>
      <c r="Q7" s="22">
        <v>0</v>
      </c>
      <c r="R7" s="47">
        <v>0</v>
      </c>
      <c r="S7" s="22">
        <v>0</v>
      </c>
      <c r="T7" s="22">
        <v>0</v>
      </c>
      <c r="U7" s="22">
        <v>0</v>
      </c>
      <c r="V7" s="22">
        <v>0</v>
      </c>
      <c r="W7" s="47">
        <v>0</v>
      </c>
      <c r="X7" s="22">
        <v>0</v>
      </c>
      <c r="Y7" s="22">
        <v>0</v>
      </c>
      <c r="Z7" s="22">
        <v>0</v>
      </c>
      <c r="AA7" s="22">
        <v>0</v>
      </c>
      <c r="AB7" s="47">
        <v>0</v>
      </c>
      <c r="AC7" s="22">
        <v>0</v>
      </c>
      <c r="AD7" s="22">
        <v>0</v>
      </c>
      <c r="AE7" s="22">
        <v>0</v>
      </c>
    </row>
    <row r="8" spans="1:32" x14ac:dyDescent="0.25">
      <c r="A8" s="8"/>
      <c r="B8" s="20" t="s">
        <v>13</v>
      </c>
      <c r="C8" s="24"/>
      <c r="D8" s="22">
        <v>0</v>
      </c>
      <c r="E8" s="22">
        <v>0</v>
      </c>
      <c r="F8" s="22">
        <v>0</v>
      </c>
      <c r="G8" s="22">
        <v>0</v>
      </c>
      <c r="H8" s="23">
        <v>0</v>
      </c>
      <c r="I8" s="22">
        <v>0</v>
      </c>
      <c r="J8" s="22">
        <v>0</v>
      </c>
      <c r="K8" s="22">
        <v>0</v>
      </c>
      <c r="L8" s="22">
        <v>0</v>
      </c>
      <c r="M8" s="47">
        <v>0</v>
      </c>
      <c r="N8" s="22">
        <v>0</v>
      </c>
      <c r="O8" s="22">
        <v>0</v>
      </c>
      <c r="P8" s="22">
        <v>0</v>
      </c>
      <c r="Q8" s="22">
        <v>0</v>
      </c>
      <c r="R8" s="47">
        <v>0</v>
      </c>
      <c r="S8" s="22">
        <v>0</v>
      </c>
      <c r="T8" s="22">
        <v>0</v>
      </c>
      <c r="U8" s="22">
        <v>0</v>
      </c>
      <c r="V8" s="22">
        <v>0</v>
      </c>
      <c r="W8" s="47">
        <v>0</v>
      </c>
      <c r="X8" s="22">
        <v>0</v>
      </c>
      <c r="Y8" s="22">
        <v>0</v>
      </c>
      <c r="Z8" s="22">
        <v>0</v>
      </c>
      <c r="AA8" s="22">
        <v>0</v>
      </c>
      <c r="AB8" s="47">
        <v>0</v>
      </c>
      <c r="AC8" s="22">
        <v>0</v>
      </c>
      <c r="AD8" s="22">
        <v>0</v>
      </c>
      <c r="AE8" s="22">
        <v>0</v>
      </c>
    </row>
    <row r="9" spans="1:32" x14ac:dyDescent="0.25">
      <c r="A9" s="8"/>
      <c r="B9" s="20" t="s">
        <v>14</v>
      </c>
      <c r="C9" s="24"/>
      <c r="D9" s="22">
        <v>0</v>
      </c>
      <c r="E9" s="22">
        <v>0</v>
      </c>
      <c r="F9" s="22">
        <v>0</v>
      </c>
      <c r="G9" s="22">
        <v>0</v>
      </c>
      <c r="H9" s="23">
        <v>0</v>
      </c>
      <c r="I9" s="22">
        <v>0</v>
      </c>
      <c r="J9" s="22">
        <v>0</v>
      </c>
      <c r="K9" s="22">
        <v>0</v>
      </c>
      <c r="L9" s="22">
        <v>0</v>
      </c>
      <c r="M9" s="47">
        <v>0</v>
      </c>
      <c r="N9" s="22">
        <v>0</v>
      </c>
      <c r="O9" s="22">
        <v>0</v>
      </c>
      <c r="P9" s="22">
        <v>0</v>
      </c>
      <c r="Q9" s="22">
        <v>0</v>
      </c>
      <c r="R9" s="47">
        <v>0</v>
      </c>
      <c r="S9" s="22">
        <v>0</v>
      </c>
      <c r="T9" s="22">
        <v>0</v>
      </c>
      <c r="U9" s="22">
        <v>0</v>
      </c>
      <c r="V9" s="22">
        <v>0</v>
      </c>
      <c r="W9" s="47">
        <v>0</v>
      </c>
      <c r="X9" s="22">
        <v>0</v>
      </c>
      <c r="Y9" s="22">
        <v>0</v>
      </c>
      <c r="Z9" s="22">
        <v>0</v>
      </c>
      <c r="AA9" s="22">
        <v>0</v>
      </c>
      <c r="AB9" s="47">
        <v>0</v>
      </c>
      <c r="AC9" s="22">
        <v>0</v>
      </c>
      <c r="AD9" s="22">
        <v>0</v>
      </c>
      <c r="AE9" s="22">
        <v>0</v>
      </c>
    </row>
    <row r="10" spans="1:32" x14ac:dyDescent="0.25">
      <c r="A10" s="8"/>
      <c r="B10" s="20" t="s">
        <v>15</v>
      </c>
      <c r="C10" s="25"/>
      <c r="D10" s="22">
        <v>0</v>
      </c>
      <c r="E10" s="22">
        <v>0</v>
      </c>
      <c r="F10" s="22">
        <v>0</v>
      </c>
      <c r="G10" s="22">
        <v>0</v>
      </c>
      <c r="H10" s="23">
        <v>0</v>
      </c>
      <c r="I10" s="22">
        <v>0</v>
      </c>
      <c r="J10" s="22">
        <v>0</v>
      </c>
      <c r="K10" s="22">
        <v>0</v>
      </c>
      <c r="L10" s="22">
        <v>0</v>
      </c>
      <c r="M10" s="47">
        <v>0</v>
      </c>
      <c r="N10" s="22">
        <v>0</v>
      </c>
      <c r="O10" s="22">
        <v>0</v>
      </c>
      <c r="P10" s="22">
        <v>0</v>
      </c>
      <c r="Q10" s="22">
        <v>0</v>
      </c>
      <c r="R10" s="47">
        <v>0</v>
      </c>
      <c r="S10" s="22">
        <v>0</v>
      </c>
      <c r="T10" s="22">
        <v>0</v>
      </c>
      <c r="U10" s="22">
        <v>0</v>
      </c>
      <c r="V10" s="22">
        <v>0</v>
      </c>
      <c r="W10" s="47">
        <v>0</v>
      </c>
      <c r="X10" s="22">
        <v>0</v>
      </c>
      <c r="Y10" s="22">
        <v>0</v>
      </c>
      <c r="Z10" s="22">
        <v>0</v>
      </c>
      <c r="AA10" s="22">
        <v>0</v>
      </c>
      <c r="AB10" s="47">
        <v>0</v>
      </c>
      <c r="AC10" s="22">
        <v>0</v>
      </c>
      <c r="AD10" s="22">
        <v>0</v>
      </c>
      <c r="AE10" s="22">
        <v>0</v>
      </c>
    </row>
    <row r="11" spans="1:32" ht="15.75" thickBot="1" x14ac:dyDescent="0.3">
      <c r="A11" s="8"/>
      <c r="B11" s="26" t="s">
        <v>20</v>
      </c>
      <c r="C11" s="27"/>
      <c r="D11" s="41">
        <v>0</v>
      </c>
      <c r="E11" s="41">
        <v>0</v>
      </c>
      <c r="F11" s="41">
        <v>0</v>
      </c>
      <c r="G11" s="41">
        <v>0</v>
      </c>
      <c r="H11" s="42">
        <v>0</v>
      </c>
      <c r="I11" s="41">
        <v>0</v>
      </c>
      <c r="J11" s="41">
        <v>0</v>
      </c>
      <c r="K11" s="41">
        <v>0</v>
      </c>
      <c r="L11" s="41">
        <v>0</v>
      </c>
      <c r="M11" s="42">
        <v>0</v>
      </c>
      <c r="N11" s="41">
        <v>0</v>
      </c>
      <c r="O11" s="41">
        <v>0</v>
      </c>
      <c r="P11" s="41">
        <v>0</v>
      </c>
      <c r="Q11" s="41">
        <v>0</v>
      </c>
      <c r="R11" s="42">
        <v>0</v>
      </c>
      <c r="S11" s="41">
        <v>0</v>
      </c>
      <c r="T11" s="41">
        <v>0</v>
      </c>
      <c r="U11" s="41">
        <v>0</v>
      </c>
      <c r="V11" s="41">
        <v>0</v>
      </c>
      <c r="W11" s="42">
        <v>0</v>
      </c>
      <c r="X11" s="41">
        <v>0</v>
      </c>
      <c r="Y11" s="41">
        <v>0</v>
      </c>
      <c r="Z11" s="41">
        <v>0</v>
      </c>
      <c r="AA11" s="41">
        <v>0</v>
      </c>
      <c r="AB11" s="42">
        <v>0</v>
      </c>
      <c r="AC11" s="41">
        <v>0</v>
      </c>
      <c r="AD11" s="41">
        <v>0</v>
      </c>
      <c r="AE11" s="41">
        <v>0</v>
      </c>
    </row>
    <row r="12" spans="1:32" ht="21" customHeight="1" x14ac:dyDescent="0.25">
      <c r="A12" s="8"/>
      <c r="B12" s="15" t="s">
        <v>22</v>
      </c>
      <c r="C12" s="40"/>
      <c r="D12" s="40"/>
      <c r="E12" s="40"/>
      <c r="F12" s="40"/>
      <c r="G12" s="40"/>
      <c r="H12" s="46"/>
      <c r="I12" s="40"/>
      <c r="J12" s="40"/>
      <c r="K12" s="40"/>
      <c r="L12" s="40"/>
      <c r="M12" s="112"/>
      <c r="N12" s="40"/>
      <c r="O12" s="40"/>
      <c r="P12" s="40"/>
      <c r="Q12" s="40"/>
      <c r="R12" s="112"/>
      <c r="S12" s="40"/>
      <c r="T12" s="40"/>
      <c r="U12" s="40"/>
      <c r="V12" s="40"/>
      <c r="W12" s="112"/>
      <c r="X12" s="40"/>
      <c r="Y12" s="40"/>
      <c r="Z12" s="40"/>
      <c r="AA12" s="40"/>
      <c r="AB12" s="112"/>
      <c r="AC12" s="40"/>
      <c r="AD12" s="40"/>
      <c r="AE12" s="40"/>
    </row>
    <row r="13" spans="1:32" ht="13.9" customHeight="1" x14ac:dyDescent="0.25">
      <c r="A13" s="8"/>
      <c r="B13" s="20" t="s">
        <v>23</v>
      </c>
      <c r="C13" s="24"/>
      <c r="D13" s="22">
        <v>0</v>
      </c>
      <c r="E13" s="22">
        <v>0</v>
      </c>
      <c r="F13" s="22">
        <v>0</v>
      </c>
      <c r="G13" s="22">
        <v>0</v>
      </c>
      <c r="H13" s="47">
        <v>0</v>
      </c>
      <c r="I13" s="22">
        <v>0</v>
      </c>
      <c r="J13" s="22">
        <v>0</v>
      </c>
      <c r="K13" s="22">
        <v>0</v>
      </c>
      <c r="L13" s="22">
        <v>0</v>
      </c>
      <c r="M13" s="47">
        <v>0</v>
      </c>
      <c r="N13" s="22">
        <v>0</v>
      </c>
      <c r="O13" s="22">
        <v>0</v>
      </c>
      <c r="P13" s="22">
        <v>0</v>
      </c>
      <c r="Q13" s="22">
        <v>0</v>
      </c>
      <c r="R13" s="47">
        <v>0</v>
      </c>
      <c r="S13" s="22">
        <v>0</v>
      </c>
      <c r="T13" s="22">
        <v>0</v>
      </c>
      <c r="U13" s="22">
        <v>0</v>
      </c>
      <c r="V13" s="22">
        <v>0</v>
      </c>
      <c r="W13" s="47">
        <v>0</v>
      </c>
      <c r="X13" s="22">
        <v>0</v>
      </c>
      <c r="Y13" s="22">
        <v>0</v>
      </c>
      <c r="Z13" s="22">
        <v>0</v>
      </c>
      <c r="AA13" s="22">
        <v>0</v>
      </c>
      <c r="AB13" s="47">
        <v>0</v>
      </c>
      <c r="AC13" s="22">
        <v>0</v>
      </c>
      <c r="AD13" s="22">
        <v>0</v>
      </c>
      <c r="AE13" s="22">
        <v>0</v>
      </c>
    </row>
    <row r="14" spans="1:32" ht="13.9" customHeight="1" x14ac:dyDescent="0.25">
      <c r="A14" s="8"/>
      <c r="B14" s="20" t="s">
        <v>24</v>
      </c>
      <c r="C14" s="24"/>
      <c r="D14" s="22">
        <v>0</v>
      </c>
      <c r="E14" s="22">
        <v>0</v>
      </c>
      <c r="F14" s="22">
        <v>0</v>
      </c>
      <c r="G14" s="22">
        <v>0</v>
      </c>
      <c r="H14" s="47">
        <v>0</v>
      </c>
      <c r="I14" s="22">
        <v>0</v>
      </c>
      <c r="J14" s="22">
        <v>0</v>
      </c>
      <c r="K14" s="22">
        <v>0</v>
      </c>
      <c r="L14" s="22">
        <v>0</v>
      </c>
      <c r="M14" s="47">
        <v>0</v>
      </c>
      <c r="N14" s="22">
        <v>0</v>
      </c>
      <c r="O14" s="22">
        <v>0</v>
      </c>
      <c r="P14" s="22">
        <v>0</v>
      </c>
      <c r="Q14" s="22">
        <v>0</v>
      </c>
      <c r="R14" s="47">
        <v>0</v>
      </c>
      <c r="S14" s="22">
        <v>0</v>
      </c>
      <c r="T14" s="22">
        <v>0</v>
      </c>
      <c r="U14" s="22">
        <v>0</v>
      </c>
      <c r="V14" s="22">
        <v>0</v>
      </c>
      <c r="W14" s="47">
        <v>0</v>
      </c>
      <c r="X14" s="22">
        <v>0</v>
      </c>
      <c r="Y14" s="22">
        <v>0</v>
      </c>
      <c r="Z14" s="22">
        <v>0</v>
      </c>
      <c r="AA14" s="22">
        <v>0</v>
      </c>
      <c r="AB14" s="47">
        <v>0</v>
      </c>
      <c r="AC14" s="22">
        <v>0</v>
      </c>
      <c r="AD14" s="22">
        <v>0</v>
      </c>
      <c r="AE14" s="22">
        <v>0</v>
      </c>
    </row>
    <row r="15" spans="1:32" x14ac:dyDescent="0.25">
      <c r="A15" s="8"/>
      <c r="B15" s="20" t="s">
        <v>25</v>
      </c>
      <c r="C15" s="39"/>
      <c r="D15" s="22">
        <v>0</v>
      </c>
      <c r="E15" s="22">
        <v>0</v>
      </c>
      <c r="F15" s="22">
        <v>0</v>
      </c>
      <c r="G15" s="22">
        <v>0</v>
      </c>
      <c r="H15" s="47">
        <v>0</v>
      </c>
      <c r="I15" s="22">
        <v>0</v>
      </c>
      <c r="J15" s="22">
        <v>0</v>
      </c>
      <c r="K15" s="22">
        <v>0</v>
      </c>
      <c r="L15" s="22">
        <v>0</v>
      </c>
      <c r="M15" s="47">
        <v>0</v>
      </c>
      <c r="N15" s="22">
        <v>0</v>
      </c>
      <c r="O15" s="22">
        <v>0</v>
      </c>
      <c r="P15" s="22">
        <v>0</v>
      </c>
      <c r="Q15" s="22">
        <v>0</v>
      </c>
      <c r="R15" s="47">
        <v>0</v>
      </c>
      <c r="S15" s="22">
        <v>0</v>
      </c>
      <c r="T15" s="22">
        <v>0</v>
      </c>
      <c r="U15" s="22">
        <v>0</v>
      </c>
      <c r="V15" s="22">
        <v>0</v>
      </c>
      <c r="W15" s="47">
        <v>0</v>
      </c>
      <c r="X15" s="22">
        <v>0</v>
      </c>
      <c r="Y15" s="22">
        <v>0</v>
      </c>
      <c r="Z15" s="22">
        <v>0</v>
      </c>
      <c r="AA15" s="22">
        <v>0</v>
      </c>
      <c r="AB15" s="47">
        <v>0</v>
      </c>
      <c r="AC15" s="22">
        <v>0</v>
      </c>
      <c r="AD15" s="22">
        <v>0</v>
      </c>
      <c r="AE15" s="22">
        <v>0</v>
      </c>
    </row>
    <row r="16" spans="1:32" x14ac:dyDescent="0.25">
      <c r="A16" s="8"/>
      <c r="B16" s="20" t="s">
        <v>26</v>
      </c>
      <c r="C16" s="39"/>
      <c r="D16" s="22">
        <v>0</v>
      </c>
      <c r="E16" s="22">
        <v>0</v>
      </c>
      <c r="F16" s="22">
        <v>0</v>
      </c>
      <c r="G16" s="22">
        <v>0</v>
      </c>
      <c r="H16" s="47">
        <v>0</v>
      </c>
      <c r="I16" s="22">
        <v>0</v>
      </c>
      <c r="J16" s="22">
        <v>0</v>
      </c>
      <c r="K16" s="22">
        <v>0</v>
      </c>
      <c r="L16" s="22">
        <v>0</v>
      </c>
      <c r="M16" s="47">
        <v>0</v>
      </c>
      <c r="N16" s="22">
        <v>0</v>
      </c>
      <c r="O16" s="22">
        <v>0</v>
      </c>
      <c r="P16" s="22">
        <v>0</v>
      </c>
      <c r="Q16" s="22">
        <v>0</v>
      </c>
      <c r="R16" s="47">
        <v>0</v>
      </c>
      <c r="S16" s="22">
        <v>0</v>
      </c>
      <c r="T16" s="22">
        <v>0</v>
      </c>
      <c r="U16" s="22">
        <v>0</v>
      </c>
      <c r="V16" s="22">
        <v>0</v>
      </c>
      <c r="W16" s="47">
        <v>0</v>
      </c>
      <c r="X16" s="22">
        <v>0</v>
      </c>
      <c r="Y16" s="22">
        <v>0</v>
      </c>
      <c r="Z16" s="22">
        <v>0</v>
      </c>
      <c r="AA16" s="22">
        <v>0</v>
      </c>
      <c r="AB16" s="47">
        <v>0</v>
      </c>
      <c r="AC16" s="22">
        <v>0</v>
      </c>
      <c r="AD16" s="22">
        <v>0</v>
      </c>
      <c r="AE16" s="22">
        <v>0</v>
      </c>
    </row>
    <row r="17" spans="1:31" ht="15.75" thickBot="1" x14ac:dyDescent="0.3">
      <c r="A17" s="8"/>
      <c r="B17" s="48" t="s">
        <v>27</v>
      </c>
      <c r="C17" s="49"/>
      <c r="D17" s="50">
        <v>0</v>
      </c>
      <c r="E17" s="50">
        <v>0</v>
      </c>
      <c r="F17" s="50">
        <v>0</v>
      </c>
      <c r="G17" s="50">
        <v>0</v>
      </c>
      <c r="H17" s="51">
        <v>0</v>
      </c>
      <c r="I17" s="50">
        <v>0</v>
      </c>
      <c r="J17" s="50">
        <v>0</v>
      </c>
      <c r="K17" s="50">
        <v>0</v>
      </c>
      <c r="L17" s="50">
        <v>0</v>
      </c>
      <c r="M17" s="113">
        <v>0</v>
      </c>
      <c r="N17" s="50">
        <v>0</v>
      </c>
      <c r="O17" s="50">
        <v>0</v>
      </c>
      <c r="P17" s="50">
        <v>0</v>
      </c>
      <c r="Q17" s="50">
        <v>0</v>
      </c>
      <c r="R17" s="113">
        <v>0</v>
      </c>
      <c r="S17" s="50">
        <v>0</v>
      </c>
      <c r="T17" s="50">
        <v>0</v>
      </c>
      <c r="U17" s="50">
        <v>0</v>
      </c>
      <c r="V17" s="50">
        <v>0</v>
      </c>
      <c r="W17" s="113">
        <v>0</v>
      </c>
      <c r="X17" s="50">
        <v>0</v>
      </c>
      <c r="Y17" s="50">
        <v>0</v>
      </c>
      <c r="Z17" s="50">
        <v>0</v>
      </c>
      <c r="AA17" s="50">
        <v>0</v>
      </c>
      <c r="AB17" s="113">
        <v>0</v>
      </c>
      <c r="AC17" s="50">
        <v>0</v>
      </c>
      <c r="AD17" s="50">
        <v>0</v>
      </c>
      <c r="AE17" s="50">
        <v>0</v>
      </c>
    </row>
    <row r="18" spans="1:31" x14ac:dyDescent="0.25">
      <c r="A18" s="8"/>
      <c r="B18" s="48"/>
      <c r="C18" s="49"/>
      <c r="D18" s="48"/>
      <c r="E18" s="48"/>
      <c r="F18" s="48"/>
      <c r="G18" s="48"/>
      <c r="H18" s="114"/>
      <c r="I18" s="48"/>
      <c r="J18" s="48"/>
      <c r="K18" s="8"/>
      <c r="L18" s="8"/>
      <c r="M18" s="38"/>
      <c r="N18" s="48"/>
      <c r="O18" s="48"/>
      <c r="P18" s="48"/>
      <c r="Q18" s="8"/>
      <c r="R18" s="38"/>
      <c r="S18" s="8"/>
      <c r="T18" s="8"/>
      <c r="U18" s="8"/>
      <c r="V18" s="8"/>
      <c r="W18" s="38"/>
      <c r="X18" s="8"/>
      <c r="Y18" s="8"/>
      <c r="Z18" s="8"/>
      <c r="AA18" s="8"/>
      <c r="AB18" s="38"/>
      <c r="AC18" s="8"/>
      <c r="AD18" s="8"/>
      <c r="AE18" s="8"/>
    </row>
    <row r="19" spans="1:31" x14ac:dyDescent="0.25">
      <c r="A19" s="8"/>
      <c r="B19" s="48" t="s">
        <v>29</v>
      </c>
      <c r="C19" s="49"/>
      <c r="D19" s="48"/>
      <c r="E19" s="48"/>
      <c r="F19" s="48"/>
      <c r="G19" s="48"/>
      <c r="H19" s="57"/>
      <c r="I19" s="48"/>
      <c r="J19" s="48"/>
      <c r="K19" s="8"/>
      <c r="L19" s="8"/>
      <c r="M19" s="38"/>
      <c r="N19" s="48"/>
      <c r="O19" s="48"/>
      <c r="P19" s="48"/>
      <c r="Q19" s="8"/>
      <c r="R19" s="38"/>
      <c r="S19" s="8"/>
      <c r="T19" s="8"/>
      <c r="U19" s="8"/>
      <c r="V19" s="8"/>
      <c r="W19" s="38"/>
      <c r="X19" s="8"/>
      <c r="Y19" s="8"/>
      <c r="Z19" s="8"/>
      <c r="AA19" s="8"/>
      <c r="AB19" s="38"/>
      <c r="AC19" s="8"/>
      <c r="AD19" s="8"/>
      <c r="AE19" s="8"/>
    </row>
    <row r="20" spans="1:31" ht="16.899999999999999" customHeight="1" x14ac:dyDescent="0.25">
      <c r="A20" s="8"/>
      <c r="B20" s="20" t="s">
        <v>30</v>
      </c>
      <c r="C20" s="24"/>
      <c r="D20" s="22">
        <v>200000</v>
      </c>
      <c r="E20" s="22">
        <v>0</v>
      </c>
      <c r="F20" s="22">
        <v>-236000</v>
      </c>
      <c r="G20" s="22">
        <v>214000</v>
      </c>
      <c r="H20" s="47">
        <v>178000</v>
      </c>
      <c r="I20" s="22">
        <v>5000</v>
      </c>
      <c r="J20" s="22">
        <v>203453</v>
      </c>
      <c r="K20" s="22">
        <v>0</v>
      </c>
      <c r="L20" s="22">
        <v>0</v>
      </c>
      <c r="M20" s="47">
        <v>208453</v>
      </c>
      <c r="N20" s="22">
        <v>0</v>
      </c>
      <c r="O20" s="22">
        <v>0</v>
      </c>
      <c r="P20" s="22">
        <v>0</v>
      </c>
      <c r="Q20" s="22">
        <v>0</v>
      </c>
      <c r="R20" s="47">
        <v>0</v>
      </c>
      <c r="S20" s="22">
        <v>0</v>
      </c>
      <c r="T20" s="22">
        <v>0</v>
      </c>
      <c r="U20" s="22">
        <v>0</v>
      </c>
      <c r="V20" s="22">
        <v>0</v>
      </c>
      <c r="W20" s="47">
        <v>0</v>
      </c>
      <c r="X20" s="22">
        <v>0</v>
      </c>
      <c r="Y20" s="22">
        <v>0</v>
      </c>
      <c r="Z20" s="22">
        <v>0</v>
      </c>
      <c r="AA20" s="22">
        <v>0</v>
      </c>
      <c r="AB20" s="47">
        <v>0</v>
      </c>
      <c r="AC20" s="22">
        <v>0</v>
      </c>
      <c r="AD20" s="22">
        <v>0</v>
      </c>
      <c r="AE20" s="22">
        <v>0</v>
      </c>
    </row>
    <row r="21" spans="1:31" ht="15" customHeight="1" x14ac:dyDescent="0.25">
      <c r="A21" s="8"/>
      <c r="B21" s="20" t="s">
        <v>31</v>
      </c>
      <c r="C21" s="24"/>
      <c r="D21" s="22">
        <v>238000</v>
      </c>
      <c r="E21" s="22">
        <v>-40000</v>
      </c>
      <c r="F21" s="22">
        <v>112000</v>
      </c>
      <c r="G21" s="22">
        <v>342000</v>
      </c>
      <c r="H21" s="47">
        <v>652000</v>
      </c>
      <c r="I21" s="22">
        <v>944000</v>
      </c>
      <c r="J21" s="22">
        <v>-603000</v>
      </c>
      <c r="K21" s="22">
        <v>-258000</v>
      </c>
      <c r="L21" s="22">
        <v>-71000</v>
      </c>
      <c r="M21" s="47">
        <v>12200</v>
      </c>
      <c r="N21" s="22">
        <v>0</v>
      </c>
      <c r="O21" s="22">
        <v>35000</v>
      </c>
      <c r="P21" s="22">
        <v>-18000</v>
      </c>
      <c r="Q21" s="22">
        <v>117000</v>
      </c>
      <c r="R21" s="47">
        <v>134000</v>
      </c>
      <c r="S21" s="22">
        <v>-17000</v>
      </c>
      <c r="T21" s="22">
        <v>-54000</v>
      </c>
      <c r="U21" s="22">
        <v>247000</v>
      </c>
      <c r="V21" s="22">
        <v>-176000</v>
      </c>
      <c r="W21" s="47">
        <v>0</v>
      </c>
      <c r="X21" s="22">
        <v>0</v>
      </c>
      <c r="Y21" s="22">
        <v>0</v>
      </c>
      <c r="Z21" s="22">
        <v>0</v>
      </c>
      <c r="AA21" s="22">
        <v>0</v>
      </c>
      <c r="AB21" s="47">
        <v>0</v>
      </c>
      <c r="AC21" s="22">
        <v>0</v>
      </c>
      <c r="AD21" s="22">
        <v>7000</v>
      </c>
      <c r="AE21" s="22">
        <v>-4000</v>
      </c>
    </row>
    <row r="22" spans="1:31" x14ac:dyDescent="0.25">
      <c r="A22" s="8"/>
      <c r="B22" s="15" t="s">
        <v>32</v>
      </c>
      <c r="C22" s="24"/>
      <c r="D22" s="22">
        <v>32472000</v>
      </c>
      <c r="E22" s="22">
        <v>38573000</v>
      </c>
      <c r="F22" s="22">
        <v>33412000</v>
      </c>
      <c r="G22" s="22">
        <v>33829000</v>
      </c>
      <c r="H22" s="47">
        <v>138286000</v>
      </c>
      <c r="I22" s="22">
        <v>36857000</v>
      </c>
      <c r="J22" s="22">
        <v>33248000</v>
      </c>
      <c r="K22" s="22">
        <v>31281000</v>
      </c>
      <c r="L22" s="22">
        <v>28484000</v>
      </c>
      <c r="M22" s="47">
        <v>129871400</v>
      </c>
      <c r="N22" s="22">
        <v>25459000</v>
      </c>
      <c r="O22" s="22">
        <v>32055000</v>
      </c>
      <c r="P22" s="22">
        <v>27444000</v>
      </c>
      <c r="Q22" s="22">
        <v>29918000</v>
      </c>
      <c r="R22" s="47">
        <v>114876000</v>
      </c>
      <c r="S22" s="22">
        <v>31460000</v>
      </c>
      <c r="T22" s="22">
        <v>27006000</v>
      </c>
      <c r="U22" s="22">
        <v>34813000</v>
      </c>
      <c r="V22" s="22">
        <v>30451000</v>
      </c>
      <c r="W22" s="47">
        <v>123730000</v>
      </c>
      <c r="X22" s="22">
        <v>39459000</v>
      </c>
      <c r="Y22" s="22">
        <v>44762000</v>
      </c>
      <c r="Z22" s="22">
        <v>38097000</v>
      </c>
      <c r="AA22" s="22">
        <v>38124000</v>
      </c>
      <c r="AB22" s="47">
        <v>160442251</v>
      </c>
      <c r="AC22" s="22">
        <v>50637000</v>
      </c>
      <c r="AD22" s="22">
        <v>39855000</v>
      </c>
      <c r="AE22" s="22">
        <v>35371000</v>
      </c>
    </row>
    <row r="23" spans="1:31" x14ac:dyDescent="0.25">
      <c r="A23" s="8"/>
      <c r="B23" s="58" t="s">
        <v>33</v>
      </c>
      <c r="C23" s="59"/>
      <c r="D23" s="60">
        <v>9076000</v>
      </c>
      <c r="E23" s="60">
        <v>9627000</v>
      </c>
      <c r="F23" s="60">
        <v>9845000</v>
      </c>
      <c r="G23" s="60">
        <v>10373000</v>
      </c>
      <c r="H23" s="47">
        <v>38921000</v>
      </c>
      <c r="I23" s="60">
        <v>10251000</v>
      </c>
      <c r="J23" s="60">
        <v>10239000</v>
      </c>
      <c r="K23" s="60">
        <v>10042000</v>
      </c>
      <c r="L23" s="60">
        <v>9993000</v>
      </c>
      <c r="M23" s="47">
        <v>40525000</v>
      </c>
      <c r="N23" s="60">
        <v>9783000</v>
      </c>
      <c r="O23" s="60">
        <v>9594000</v>
      </c>
      <c r="P23" s="60">
        <v>9393000</v>
      </c>
      <c r="Q23" s="60">
        <v>9533000</v>
      </c>
      <c r="R23" s="47">
        <v>38303000</v>
      </c>
      <c r="S23" s="60">
        <v>9333000</v>
      </c>
      <c r="T23" s="60">
        <v>8893000</v>
      </c>
      <c r="U23" s="60">
        <v>8224000</v>
      </c>
      <c r="V23" s="60">
        <v>7777000</v>
      </c>
      <c r="W23" s="47">
        <v>34227000</v>
      </c>
      <c r="X23" s="60">
        <v>8206000</v>
      </c>
      <c r="Y23" s="60">
        <v>8453000</v>
      </c>
      <c r="Z23" s="60">
        <v>8319000</v>
      </c>
      <c r="AA23" s="60">
        <v>7799000</v>
      </c>
      <c r="AB23" s="47">
        <f>SUM(X23:AA23)</f>
        <v>32777000</v>
      </c>
      <c r="AC23" s="60">
        <v>7348000</v>
      </c>
      <c r="AD23" s="60">
        <v>7581824.4625160079</v>
      </c>
      <c r="AE23" s="60">
        <v>7513000</v>
      </c>
    </row>
    <row r="24" spans="1:31" ht="15.75" thickBot="1" x14ac:dyDescent="0.3">
      <c r="A24" s="8"/>
      <c r="B24" s="15" t="s">
        <v>34</v>
      </c>
      <c r="C24" s="61"/>
      <c r="D24" s="50">
        <v>41986000</v>
      </c>
      <c r="E24" s="50">
        <v>48160000</v>
      </c>
      <c r="F24" s="50">
        <v>43133000</v>
      </c>
      <c r="G24" s="50">
        <v>44758000</v>
      </c>
      <c r="H24" s="51">
        <v>178037000</v>
      </c>
      <c r="I24" s="50">
        <v>48057000</v>
      </c>
      <c r="J24" s="50">
        <v>43088000</v>
      </c>
      <c r="K24" s="50">
        <v>41065000</v>
      </c>
      <c r="L24" s="50">
        <v>38406000</v>
      </c>
      <c r="M24" s="51">
        <v>170616053</v>
      </c>
      <c r="N24" s="50">
        <v>35242000</v>
      </c>
      <c r="O24" s="50">
        <v>41684007.205922969</v>
      </c>
      <c r="P24" s="50">
        <v>36819000</v>
      </c>
      <c r="Q24" s="50">
        <v>39568000</v>
      </c>
      <c r="R24" s="51">
        <v>153313000</v>
      </c>
      <c r="S24" s="50">
        <v>40776000</v>
      </c>
      <c r="T24" s="50">
        <v>35845000</v>
      </c>
      <c r="U24" s="50">
        <v>43284000</v>
      </c>
      <c r="V24" s="50">
        <v>38052000</v>
      </c>
      <c r="W24" s="51">
        <v>157957000</v>
      </c>
      <c r="X24" s="50">
        <v>47665000</v>
      </c>
      <c r="Y24" s="50">
        <v>53215000</v>
      </c>
      <c r="Z24" s="50">
        <v>46416000</v>
      </c>
      <c r="AA24" s="50">
        <f>SUM(AA20:AA23)</f>
        <v>45923000</v>
      </c>
      <c r="AB24" s="51">
        <f>SUM(AB20:AB23)</f>
        <v>193219251</v>
      </c>
      <c r="AC24" s="50">
        <f>+AC23+AC22</f>
        <v>57985000</v>
      </c>
      <c r="AD24" s="50">
        <f>+AD23+AD22+AD21</f>
        <v>47443824.46251601</v>
      </c>
      <c r="AE24" s="50">
        <v>42880000</v>
      </c>
    </row>
    <row r="25" spans="1:31" x14ac:dyDescent="0.25">
      <c r="A25" s="8"/>
      <c r="B25" s="15"/>
      <c r="C25" s="40"/>
      <c r="D25" s="40"/>
      <c r="E25" s="40"/>
      <c r="F25" s="40"/>
      <c r="G25" s="40"/>
      <c r="H25" s="47"/>
      <c r="I25" s="40"/>
      <c r="J25" s="40"/>
      <c r="K25" s="40"/>
      <c r="L25" s="40"/>
      <c r="M25" s="47"/>
      <c r="N25" s="40"/>
      <c r="O25" s="40"/>
      <c r="P25" s="40"/>
      <c r="Q25" s="40"/>
      <c r="R25" s="47"/>
      <c r="S25" s="40"/>
      <c r="T25" s="40"/>
      <c r="U25" s="40"/>
      <c r="V25" s="40"/>
      <c r="W25" s="47"/>
      <c r="X25" s="40"/>
      <c r="Y25" s="40"/>
      <c r="Z25" s="40"/>
      <c r="AA25" s="40"/>
      <c r="AB25" s="47"/>
      <c r="AC25" s="40"/>
      <c r="AD25" s="40"/>
      <c r="AE25" s="40"/>
    </row>
    <row r="26" spans="1:31" ht="16.5" thickBot="1" x14ac:dyDescent="0.3">
      <c r="A26" s="8"/>
      <c r="B26" s="15" t="s">
        <v>109</v>
      </c>
      <c r="C26" s="61"/>
      <c r="D26" s="62">
        <v>-41986000</v>
      </c>
      <c r="E26" s="62">
        <v>-48160000</v>
      </c>
      <c r="F26" s="62">
        <v>-43133000</v>
      </c>
      <c r="G26" s="62">
        <v>-44758000</v>
      </c>
      <c r="H26" s="42">
        <v>-178037000</v>
      </c>
      <c r="I26" s="62">
        <v>-48057000</v>
      </c>
      <c r="J26" s="62">
        <v>-43088000</v>
      </c>
      <c r="K26" s="62">
        <v>-41065000</v>
      </c>
      <c r="L26" s="62">
        <v>-38406000</v>
      </c>
      <c r="M26" s="42">
        <v>-170616053</v>
      </c>
      <c r="N26" s="62">
        <v>-35242000</v>
      </c>
      <c r="O26" s="62">
        <v>-41684007.205922969</v>
      </c>
      <c r="P26" s="62">
        <v>-36819000</v>
      </c>
      <c r="Q26" s="62">
        <v>-39568000</v>
      </c>
      <c r="R26" s="42">
        <v>-153313000</v>
      </c>
      <c r="S26" s="62">
        <v>-40776000</v>
      </c>
      <c r="T26" s="62">
        <v>-35845000</v>
      </c>
      <c r="U26" s="62">
        <v>-43284000</v>
      </c>
      <c r="V26" s="62">
        <v>-38052000</v>
      </c>
      <c r="W26" s="42">
        <v>-157957000</v>
      </c>
      <c r="X26" s="62">
        <v>-47665000</v>
      </c>
      <c r="Y26" s="62">
        <v>-53215000</v>
      </c>
      <c r="Z26" s="62">
        <v>-46416000</v>
      </c>
      <c r="AA26" s="62">
        <v>-45923000</v>
      </c>
      <c r="AB26" s="42">
        <v>-193219000</v>
      </c>
      <c r="AC26" s="62">
        <f>-AC24</f>
        <v>-57985000</v>
      </c>
      <c r="AD26" s="62">
        <f>-AD24</f>
        <v>-47443824.46251601</v>
      </c>
      <c r="AE26" s="62">
        <f>'[1]Corporate Consolidated'!$HV$35*1000</f>
        <v>-42880000</v>
      </c>
    </row>
    <row r="28" spans="1:31" ht="17.45" customHeight="1" x14ac:dyDescent="0.25">
      <c r="A28" s="8"/>
      <c r="B28" s="93" t="s">
        <v>110</v>
      </c>
      <c r="C28" s="93"/>
      <c r="D28" s="93"/>
      <c r="E28" s="93"/>
      <c r="F28" s="93"/>
      <c r="G28" s="93"/>
      <c r="H28" s="93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AA28" s="8"/>
      <c r="AB28" s="8"/>
    </row>
    <row r="29" spans="1:31" x14ac:dyDescent="0.25">
      <c r="A29" s="8"/>
      <c r="B29" s="93" t="s">
        <v>111</v>
      </c>
      <c r="C29" s="93"/>
      <c r="D29" s="93"/>
      <c r="E29" s="93"/>
      <c r="F29" s="93"/>
      <c r="G29" s="93"/>
      <c r="H29" s="93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AA29" s="8"/>
      <c r="AB29" s="8"/>
    </row>
    <row r="30" spans="1:31" x14ac:dyDescent="0.25">
      <c r="A30" s="8"/>
      <c r="B30" s="93" t="s">
        <v>112</v>
      </c>
      <c r="C30" s="93"/>
      <c r="D30" s="93"/>
      <c r="E30" s="93"/>
      <c r="F30" s="93"/>
      <c r="G30" s="93"/>
      <c r="H30" s="93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AA30" s="8"/>
      <c r="AB30" s="8"/>
    </row>
    <row r="31" spans="1:31" x14ac:dyDescent="0.25">
      <c r="A31" s="8"/>
      <c r="B31" s="93" t="s">
        <v>113</v>
      </c>
      <c r="C31" s="93"/>
      <c r="D31" s="93"/>
      <c r="E31" s="93"/>
      <c r="F31" s="93"/>
      <c r="G31" s="93"/>
      <c r="H31" s="93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AA31" s="8"/>
      <c r="AB31" s="8"/>
    </row>
    <row r="32" spans="1:31" x14ac:dyDescent="0.25">
      <c r="A32" s="8"/>
      <c r="B32" s="93" t="s">
        <v>114</v>
      </c>
      <c r="C32" s="93"/>
      <c r="D32" s="93"/>
      <c r="E32" s="93"/>
      <c r="F32" s="93"/>
      <c r="G32" s="93"/>
      <c r="H32" s="93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AA32" s="8"/>
      <c r="AB32" s="8"/>
    </row>
    <row r="33" spans="1:28" ht="32.450000000000003" customHeight="1" x14ac:dyDescent="0.25">
      <c r="A33" s="8"/>
      <c r="B33" s="140" t="s">
        <v>115</v>
      </c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</row>
    <row r="34" spans="1:28" x14ac:dyDescent="0.25">
      <c r="A34" s="8"/>
      <c r="B34" s="140" t="s">
        <v>116</v>
      </c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8"/>
      <c r="Q34" s="8"/>
      <c r="R34" s="8"/>
      <c r="S34" s="8"/>
      <c r="T34" s="8"/>
      <c r="U34" s="8"/>
      <c r="V34" s="8"/>
      <c r="W34" s="8"/>
      <c r="AA34" s="8"/>
      <c r="AB34" s="8"/>
    </row>
    <row r="35" spans="1:28" ht="26.45" customHeight="1" x14ac:dyDescent="0.25">
      <c r="A35" s="8"/>
      <c r="B35" s="140" t="s">
        <v>117</v>
      </c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</row>
  </sheetData>
  <mergeCells count="7">
    <mergeCell ref="B35:U35"/>
    <mergeCell ref="D4:G4"/>
    <mergeCell ref="I4:L4"/>
    <mergeCell ref="N4:Q4"/>
    <mergeCell ref="B34:O34"/>
    <mergeCell ref="B33:U33"/>
    <mergeCell ref="S4:V4"/>
  </mergeCells>
  <pageMargins left="0.7" right="0.7" top="0.75" bottom="0.75" header="0.3" footer="0.3"/>
  <pageSetup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Consolidated</vt:lpstr>
      <vt:lpstr>Rent-A-Center Business</vt:lpstr>
      <vt:lpstr>Acima Consolidated</vt:lpstr>
      <vt:lpstr>Mexico</vt:lpstr>
      <vt:lpstr>Franchising</vt:lpstr>
      <vt:lpstr>Corporate</vt:lpstr>
      <vt:lpstr>'Acima Consolidated'!Print_Area</vt:lpstr>
      <vt:lpstr>Consolidated!Print_Area</vt:lpstr>
      <vt:lpstr>Corporate!Print_Area</vt:lpstr>
      <vt:lpstr>Franchising!Print_Area</vt:lpstr>
      <vt:lpstr>Mexico!Print_Area</vt:lpstr>
      <vt:lpstr>'Rent-A-Center Business'!Print_Area</vt:lpstr>
    </vt:vector>
  </TitlesOfParts>
  <Company>Rent-A-Center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Manan Parikh</dc:creator>
  <cp:lastModifiedBy>Robert Kiley</cp:lastModifiedBy>
  <cp:lastPrinted>2021-08-03T12:59:26Z</cp:lastPrinted>
  <dcterms:created xsi:type="dcterms:W3CDTF">2020-10-28T21:17:45Z</dcterms:created>
  <dcterms:modified xsi:type="dcterms:W3CDTF">2022-11-02T19:36:38Z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